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ddugan\Box\GA Hospital Transparency\2023\"/>
    </mc:Choice>
  </mc:AlternateContent>
  <xr:revisionPtr revIDLastSave="0" documentId="8_{B56C2053-D799-4891-8F76-AE588A055261}" xr6:coauthVersionLast="47" xr6:coauthVersionMax="47" xr10:uidLastSave="{00000000-0000-0000-0000-000000000000}"/>
  <workbookProtection workbookAlgorithmName="SHA-512" workbookHashValue="MWP5BDMo/r6mXtvwltkAbU4+Pf5TkWeXpeMIqIbGBjghPX39pxEpzeuth2iYYir1UmKsQXg/PnBPAnMLc9UHNQ==" workbookSaltValue="apUJiLxM1+7EKatpGyGwoQ==" workbookSpinCount="100000" lockStructure="1"/>
  <bookViews>
    <workbookView xWindow="28680" yWindow="-120" windowWidth="29040" windowHeight="15990" tabRatio="705" firstSheet="4" activeTab="8" xr2:uid="{00000000-000D-0000-FFFF-FFFF00000000}"/>
  </bookViews>
  <sheets>
    <sheet name="‡‡MappingWorksheet‡‡" sheetId="44" state="veryHidden" r:id="rId1"/>
    <sheet name="‡‡MappingControlWorksheet‡‡" sheetId="45" state="veryHidden" r:id="rId2"/>
    <sheet name="‡‡MappingConfig‡‡" sheetId="46" state="hidden" r:id="rId3"/>
    <sheet name="Survey Set-Up" sheetId="4" state="hidden" r:id="rId4"/>
    <sheet name="Instructions" sheetId="1" r:id="rId5"/>
    <sheet name="DSH Waiver &amp; MIUR Data" sheetId="35" state="hidden" r:id="rId6"/>
    <sheet name="DSH Qualification" sheetId="41" state="hidden" r:id="rId7"/>
    <sheet name="‡‡Categories‡‡" sheetId="54" state="veryHidden" r:id="rId8"/>
    <sheet name="Sec. A-C DSH Year Data" sheetId="2" r:id="rId9"/>
    <sheet name="Checklist" sheetId="8" r:id="rId10"/>
    <sheet name="Checklist - Indy" sheetId="52" state="hidden" r:id="rId11"/>
    <sheet name="Calculation" sheetId="42" state="hidden" r:id="rId12"/>
    <sheet name="Sec. A-C DSH Year Data ADJ" sheetId="33" state="hidden" r:id="rId13"/>
    <sheet name="Exam Adjustments" sheetId="31" state="hidden" r:id="rId14"/>
    <sheet name="Sheet1" sheetId="50" state="veryHidden" r:id="rId15"/>
  </sheets>
  <definedNames>
    <definedName name="_C000003">'DSH Qualification'!$L$2:$L$215</definedName>
    <definedName name="_C000039">'Sec. A-C DSH Year Data'!$C$2:$C$6</definedName>
    <definedName name="_C000040">'Sec. A-C DSH Year Data'!$E$2:$E$6</definedName>
    <definedName name="_C000041">'Sec. A-C DSH Year Data'!$K$2:$K$3</definedName>
    <definedName name="_C000042">'Sec. A-C DSH Year Data'!$C$8:$G$9</definedName>
    <definedName name="_C000043">'Sec. A-C DSH Year Data'!$C$12:$C$18</definedName>
    <definedName name="_C000044">'Sec. A-C DSH Year Data'!$E$12:$E$18</definedName>
    <definedName name="_C000045">'Sec. A-C DSH Year Data'!$E$21:$E$28</definedName>
    <definedName name="_C000048">'Sec. A-C DSH Year Data'!$I$31:$I$51</definedName>
    <definedName name="_C000049">'Sec. A-C DSH Year Data'!$B$56:$E$69</definedName>
    <definedName name="_C000050">'Sec. A-C DSH Year Data'!$G$56:$G$69</definedName>
    <definedName name="_C000051">'Sec. A-C DSH Year Data'!$I$56:$I$69</definedName>
    <definedName name="_C000054">'Sec. A-C DSH Year Data'!$I$74:$I$88</definedName>
    <definedName name="_C000055">'Sec. A-C DSH Year Data'!$B$93:$N$97</definedName>
    <definedName name="_C000056">'Sec. A-C DSH Year Data'!$B$102:$B$106</definedName>
    <definedName name="_C000057">'Sec. A-C DSH Year Data'!$E$102:$G$106</definedName>
    <definedName name="_C000058">'Sec. A-C DSH Year Data'!$K$102:$M$106</definedName>
    <definedName name="_C000059">'Sec. A-C DSH Year Data'!$C$111:$F$118</definedName>
    <definedName name="_C000060">'Sec. A-C DSH Year Data'!$J$111:$M$117</definedName>
    <definedName name="_C000117">'Sec. A-C DSH Year Data ADJ'!$C$2:$C$6</definedName>
    <definedName name="_C000118">'Sec. A-C DSH Year Data ADJ'!$E$2:$E$6</definedName>
    <definedName name="_C000119">'Sec. A-C DSH Year Data ADJ'!$K$2:$K$3</definedName>
    <definedName name="_C000120">'Sec. A-C DSH Year Data ADJ'!$C$8:$G$9</definedName>
    <definedName name="_C000121">'Sec. A-C DSH Year Data ADJ'!$C$12:$C$18</definedName>
    <definedName name="_C000122">'Sec. A-C DSH Year Data ADJ'!$E$12:$E$18</definedName>
    <definedName name="_C000125">'Sec. A-C DSH Year Data ADJ'!$I$31:$I$51</definedName>
    <definedName name="_C000126">'Sec. A-C DSH Year Data ADJ'!$B$56:$E$69</definedName>
    <definedName name="_C000127">'Sec. A-C DSH Year Data ADJ'!$G$56:$G$69</definedName>
    <definedName name="_C000128">'Sec. A-C DSH Year Data ADJ'!$I$56:$I$69</definedName>
    <definedName name="_C000131">'Sec. A-C DSH Year Data ADJ'!$I$74:$I$88</definedName>
    <definedName name="_C000132">'Sec. A-C DSH Year Data ADJ'!$B$93:$N$97</definedName>
    <definedName name="_C000133">'Sec. A-C DSH Year Data ADJ'!$B$102:$B$106</definedName>
    <definedName name="_C000134">'Sec. A-C DSH Year Data ADJ'!$E$102:$G$106</definedName>
    <definedName name="_C000135">'Sec. A-C DSH Year Data ADJ'!$K$102:$M$106</definedName>
    <definedName name="_C000136">'Sec. A-C DSH Year Data ADJ'!$C$111:$F$118</definedName>
    <definedName name="_C000137">'Sec. A-C DSH Year Data ADJ'!$J$111:$M$117</definedName>
    <definedName name="_C000227">'DSH Waiver &amp; MIUR Data'!$E$13:$E$14</definedName>
    <definedName name="_C000228">'DSH Waiver &amp; MIUR Data'!$G$13:$G$18</definedName>
    <definedName name="_C000229">'DSH Waiver &amp; MIUR Data'!$J$21:$J$47</definedName>
    <definedName name="_C000230">'DSH Waiver &amp; MIUR Data'!$B$52:$G$55</definedName>
    <definedName name="_C000231">'DSH Waiver &amp; MIUR Data'!$J$52:$J$66</definedName>
    <definedName name="_C000232">'DSH Waiver &amp; MIUR Data'!$B$87:$B$96</definedName>
    <definedName name="_C000233">'DSH Waiver &amp; MIUR Data'!$G$87:$G$88</definedName>
    <definedName name="_C000259">'Sec. A-C DSH Year Data ADJ'!$E$21:$E$28</definedName>
    <definedName name="_D000026">'DSH Qualification'!$L$143</definedName>
    <definedName name="_D000027">'DSH Qualification'!$L$146</definedName>
    <definedName name="_D000028">'DSH Qualification'!$L$151</definedName>
    <definedName name="_D000029">'DSH Qualification'!$L$154</definedName>
    <definedName name="_D000030">'DSH Qualification'!$L$156</definedName>
    <definedName name="_D000095">'Sec. A-C DSH Year Data'!$B$95</definedName>
    <definedName name="_D000096">'Sec. A-C DSH Year Data'!$B$96</definedName>
    <definedName name="_D000097">'Sec. A-C DSH Year Data'!$B$97</definedName>
    <definedName name="_D000172">'Sec. A-C DSH Year Data ADJ'!$B$95</definedName>
    <definedName name="_D000173">'Sec. A-C DSH Year Data ADJ'!$B$96</definedName>
    <definedName name="_D000174">'Sec. A-C DSH Year Data ADJ'!$B$97</definedName>
    <definedName name="_xlnm._FilterDatabase" localSheetId="13" hidden="1">'Exam Adjustments'!$A$8:$K$29</definedName>
    <definedName name="_xlnm._FilterDatabase" localSheetId="3" hidden="1">'Survey Set-Up'!$A$17:$U$179</definedName>
    <definedName name="_R000002">'DSH Qualification'!$A$2:$T$215</definedName>
    <definedName name="_R000038">'Sec. A-C DSH Year Data'!$A$2:$Q$28</definedName>
    <definedName name="_R000047">'Sec. A-C DSH Year Data'!$A$31:$Q$69</definedName>
    <definedName name="_R000053">'Sec. A-C DSH Year Data'!$A$74:$Q$118</definedName>
    <definedName name="_R000116">'Sec. A-C DSH Year Data ADJ'!$A$2:$Q$28</definedName>
    <definedName name="_R000124">'Sec. A-C DSH Year Data ADJ'!$A$31:$Q$69</definedName>
    <definedName name="_R000130">'Sec. A-C DSH Year Data ADJ'!$A$74:$Q$118</definedName>
    <definedName name="_R000226">'DSH Waiver &amp; MIUR Data'!$A$13:$O$96</definedName>
    <definedName name="_S000001">'DSH Qualification'!$A$1:$T$215</definedName>
    <definedName name="_S000037">'Sec. A-C DSH Year Data'!$A$1:$Q$28</definedName>
    <definedName name="_S000046">'Sec. A-C DSH Year Data'!$A$30:$Q$69</definedName>
    <definedName name="_S000052">'Sec. A-C DSH Year Data'!$A$72:$Q$118</definedName>
    <definedName name="_S000115">'Sec. A-C DSH Year Data ADJ'!$A$1:$Q$28</definedName>
    <definedName name="_S000123">'Sec. A-C DSH Year Data ADJ'!$A$30:$Q$69</definedName>
    <definedName name="_S000129">'Sec. A-C DSH Year Data ADJ'!$A$72:$Q$118</definedName>
    <definedName name="_S000225">'DSH Waiver &amp; MIUR Data'!$A$1:$O$96</definedName>
    <definedName name="Act_540">'Survey Set-Up'!$N$6</definedName>
    <definedName name="Act_540_Accreditation">'DSH Qualification'!$L$215</definedName>
    <definedName name="Act_540_DPP">'DSH Qualification'!$L$211</definedName>
    <definedName name="Act_540_FSP">'DSH Qualification'!$L$213</definedName>
    <definedName name="Act540_Certification">'Survey Set-Up'!$U$17</definedName>
    <definedName name="Act540Qualification">'DSH Qualification'!$207:$216</definedName>
    <definedName name="All_States">'Survey Set-Up'!$CF$4:$ED$4</definedName>
    <definedName name="Contact_CityStateZip">'Sec. A-C DSH Year Data'!$C$118</definedName>
    <definedName name="Contact_CityStateZip_ADJ">'Sec. A-C DSH Year Data ADJ'!$C$118</definedName>
    <definedName name="Contact_Email">'Sec. A-C DSH Year Data'!$C$116</definedName>
    <definedName name="Contact_Email_ADJ">'Sec. A-C DSH Year Data ADJ'!$C$116</definedName>
    <definedName name="Contact_Name">'Sec. A-C DSH Year Data'!$C$113</definedName>
    <definedName name="Contact_Name_ADJ">'Sec. A-C DSH Year Data ADJ'!$C$113</definedName>
    <definedName name="Contact_Phone">'Sec. A-C DSH Year Data'!$C$115</definedName>
    <definedName name="Contact_Phone_ADJ">'Sec. A-C DSH Year Data ADJ'!$C$115</definedName>
    <definedName name="Contact_StreetAddress">'Sec. A-C DSH Year Data'!$C$117</definedName>
    <definedName name="Contact_StreetAddress_ADJ">'Sec. A-C DSH Year Data ADJ'!$C$117</definedName>
    <definedName name="Contact_Title">'Sec. A-C DSH Year Data'!$C$114</definedName>
    <definedName name="Contact_Title_ADJ">'Sec. A-C DSH Year Data ADJ'!$C$114</definedName>
    <definedName name="CPE_Qualification1">'DSH Qualification'!$L$87</definedName>
    <definedName name="DATATABLE">'Survey Set-Up'!$B$17:$N$1970</definedName>
    <definedName name="DefinedProviders">'Survey Set-Up'!$B$17:$L$178</definedName>
    <definedName name="DSH_Payment_Year_Begin">'DSH Waiver &amp; MIUR Data'!$E$14</definedName>
    <definedName name="DSH_Payment_Year_End">'DSH Waiver &amp; MIUR Data'!$G$14</definedName>
    <definedName name="DSH_Waiver_MIUR_Data_1">'DSH Waiver &amp; MIUR Data'!$A$22:$M$51</definedName>
    <definedName name="DSH_Waiver_MIUR_Data_2">'DSH Waiver &amp; MIUR Data'!$A$53:$M$86</definedName>
    <definedName name="DSH_Waiver_MIUR_Data_3">'DSH Waiver &amp; MIUR Data'!$A$88:$M$97</definedName>
    <definedName name="DSH_Year_Begin">'Survey Set-Up'!$E$1</definedName>
    <definedName name="DSH_Year_Begin_ADJ">'Sec. A-C DSH Year Data ADJ'!$C$6</definedName>
    <definedName name="DSH_Year_End">'Survey Set-Up'!$E$2</definedName>
    <definedName name="DSH_Year_End_ADJ">'Sec. A-C DSH Year Data ADJ'!$E$6</definedName>
    <definedName name="DSHPool">'Sec. A-C DSH Year Data'!$E$28</definedName>
    <definedName name="DSHPool_ADJ">'Sec. A-C DSH Year Data ADJ'!$E$28</definedName>
    <definedName name="DSHWaiverMIUR">'DSH Waiver &amp; MIUR Data'!$J$40</definedName>
    <definedName name="DSP_TRPSHD">Sheet1!$CQ$2</definedName>
    <definedName name="FL_LIPNoTax">'Survey Set-Up'!$U$19</definedName>
    <definedName name="FL_LIPWithTax">'Survey Set-Up'!$U$18</definedName>
    <definedName name="FL_Review_Type">'Survey Set-Up'!$P$4</definedName>
    <definedName name="FYB_1">'Sec. A-C DSH Year Data'!$C$16</definedName>
    <definedName name="FYB_1_ADJ">'Sec. A-C DSH Year Data ADJ'!$C$16</definedName>
    <definedName name="FYB_2">'Sec. A-C DSH Year Data'!$C$17</definedName>
    <definedName name="FYB_2_ADJ">'Sec. A-C DSH Year Data ADJ'!$C$17</definedName>
    <definedName name="FYB_3">'Sec. A-C DSH Year Data'!$C$18</definedName>
    <definedName name="FYB_3_ADJ">'Sec. A-C DSH Year Data ADJ'!$C$18</definedName>
    <definedName name="FYE_1">'Sec. A-C DSH Year Data'!$E$16</definedName>
    <definedName name="FYE_1_ADJ">'Sec. A-C DSH Year Data ADJ'!$E$16</definedName>
    <definedName name="FYE_2">'Sec. A-C DSH Year Data'!$E$17</definedName>
    <definedName name="FYE_2_ADJ">'Sec. A-C DSH Year Data ADJ'!$E$17</definedName>
    <definedName name="FYE_3">'Sec. A-C DSH Year Data'!$E$18</definedName>
    <definedName name="FYE_3_ADJ">'Sec. A-C DSH Year Data ADJ'!$E$18</definedName>
    <definedName name="HighMedicaid">'DSH Qualification'!$A$161:$P$209</definedName>
    <definedName name="HighXIX_Qualification1">'DSH Qualification'!$L$166</definedName>
    <definedName name="HighXIX_Qualification2">'DSH Qualification'!$L$187</definedName>
    <definedName name="HighXIX_Qualification3">'DSH Qualification'!$L$203</definedName>
    <definedName name="HospContact_Name">'Sec. A-C DSH Year Data'!$C$113</definedName>
    <definedName name="HOSPITALNAME">'Sec. A-C DSH Year Data'!$C$9</definedName>
    <definedName name="HOSPITALNAME_ADJ">'Sec. A-C DSH Year Data ADJ'!$C$9</definedName>
    <definedName name="LA_OBName1">'Sec. A-C DSH Year Data'!$B$68</definedName>
    <definedName name="LA_OBName1_ADJ">'Sec. A-C DSH Year Data ADJ'!$B$68</definedName>
    <definedName name="LA_OBName2">'Sec. A-C DSH Year Data'!$B$69</definedName>
    <definedName name="LA_OBName2_ADJ">'Sec. A-C DSH Year Data ADJ'!$B$69</definedName>
    <definedName name="LA_ProjectType">'Survey Set-Up'!$N$7</definedName>
    <definedName name="LANoTax">'Survey Set-Up'!$U$7</definedName>
    <definedName name="LANoTax_Waive">'Survey Set-Up'!$U$16</definedName>
    <definedName name="LastRangeID">‡‡MappingConfig‡‡!$B$5</definedName>
    <definedName name="LAWithTax">'Survey Set-Up'!$U$6</definedName>
    <definedName name="LAWithTax_Waive">'Survey Set-Up'!$U$15</definedName>
    <definedName name="LINCCA_Qualification1">'DSH Qualification'!$L$102</definedName>
    <definedName name="LINCCA_Qualification2">'DSH Qualification'!$L$105</definedName>
    <definedName name="Louisiana_Instructions">Instructions!$AA$2</definedName>
    <definedName name="Louisiana_Pool">'Survey Set-Up'!$N$4</definedName>
    <definedName name="Louisiana_Title">Instructions!$Z$2</definedName>
    <definedName name="Mcaid_Lump_Sum_Payments">'Sec. A-C DSH Year Data'!$I$77</definedName>
    <definedName name="Mcaid_Lump_Sum_Payments_ADJ">'Sec. A-C DSH Year Data ADJ'!$I$77</definedName>
    <definedName name="McaidNum">'Sec. A-C DSH Year Data'!$E$23</definedName>
    <definedName name="McaidNum_ADJ">'Sec. A-C DSH Year Data ADJ'!$E$23</definedName>
    <definedName name="McaidNumAdj" localSheetId="12">'Sec. A-C DSH Year Data ADJ'!$I$23</definedName>
    <definedName name="McareNum">'Sec. A-C DSH Year Data'!$E$26</definedName>
    <definedName name="McareNum_ADJ">'Sec. A-C DSH Year Data ADJ'!$E$26</definedName>
    <definedName name="McareNumADJ" localSheetId="12">'Sec. A-C DSH Year Data ADJ'!$I$26</definedName>
    <definedName name="MCDHospDaysperCR">'DSH Waiver &amp; MIUR Data'!$J$32</definedName>
    <definedName name="MCO_Lump_Sum_Payments">'Sec. A-C DSH Year Data'!$I$80</definedName>
    <definedName name="MCO_Lump_Sum_Payments_ADJ">'Sec. A-C DSH Year Data ADJ'!$I$80</definedName>
    <definedName name="MedicaidEligDays">'DSH Waiver &amp; MIUR Data'!$J$38</definedName>
    <definedName name="Missouri_Instructions">Instructions!$AA$1</definedName>
    <definedName name="Missouri_Title">Instructions!$Z$1</definedName>
    <definedName name="MIUR">'Survey Set-Up'!$U$13</definedName>
    <definedName name="MIUR_Threshold">'Survey Set-Up'!$N$5</definedName>
    <definedName name="MMC_Qualification1">'DSH Qualification'!$L$117</definedName>
    <definedName name="MMC_Qualification2">'DSH Qualification'!$L$120</definedName>
    <definedName name="MMC_Qualification3">'DSH Qualification'!$L$125</definedName>
    <definedName name="MMC_Qualification4">'DSH Qualification'!$L$127</definedName>
    <definedName name="MO_MIUR">'Survey Set-Up'!$U$12</definedName>
    <definedName name="MO_OptOut">'Survey Set-Up'!$U$9</definedName>
    <definedName name="NAME">'Survey Set-Up'!$B$20:$B$119</definedName>
    <definedName name="NonSmallRuralQualification">'DSH Qualification'!$82:$160</definedName>
    <definedName name="NoTax">'Survey Set-Up'!$U$5</definedName>
    <definedName name="OB_Names">'Sec. A-C DSH Year Data'!$66:$70</definedName>
    <definedName name="OB_Names_ADJ">'Sec. A-C DSH Year Data ADJ'!$66:$70</definedName>
    <definedName name="OBExempt1Yes">'Sec. A-C DSH Year Data'!$I$39</definedName>
    <definedName name="OBExempt1Yes_ADJ">'Sec. A-C DSH Year Data ADJ'!$I$39</definedName>
    <definedName name="OBExempt1Yes_Payment">'Sec. A-C DSH Year Data'!$I$61</definedName>
    <definedName name="OBExempt1Yes_Payment_ADJ">'Sec. A-C DSH Year Data ADJ'!$I$61</definedName>
    <definedName name="OBExempt1Yes_Waiver">'DSH Waiver &amp; MIUR Data'!$J$57</definedName>
    <definedName name="OBExempt2Yes">'Sec. A-C DSH Year Data'!$I$41</definedName>
    <definedName name="OBExempt2Yes_ADJ">'Sec. A-C DSH Year Data ADJ'!$I$41</definedName>
    <definedName name="OBExempt2Yes_Payment">'Sec. A-C DSH Year Data'!$I$63</definedName>
    <definedName name="OBExempt2Yes_Payment_ADJ">'Sec. A-C DSH Year Data ADJ'!$I$63</definedName>
    <definedName name="OBExempt2Yes_Waiver">'DSH Waiver &amp; MIUR Data'!$J$60</definedName>
    <definedName name="OBLicense_1">'Sec. A-C DSH Year Data'!$G$68</definedName>
    <definedName name="OBLicense_1_ADJ">'Sec. A-C DSH Year Data ADJ'!$G$68</definedName>
    <definedName name="OBLicense_2">'Sec. A-C DSH Year Data'!$G$69</definedName>
    <definedName name="OBLicense_2_ADJ">'Sec. A-C DSH Year Data ADJ'!$G$69</definedName>
    <definedName name="OBMedicaid_1">'Sec. A-C DSH Year Data'!$I$68</definedName>
    <definedName name="OBMedicaid_1_ADJ">'Sec. A-C DSH Year Data ADJ'!$I$68</definedName>
    <definedName name="OBMedicaid_2">'Sec. A-C DSH Year Data'!$I$69</definedName>
    <definedName name="OBMedicaid_2_ADJ">'Sec. A-C DSH Year Data ADJ'!$I$69</definedName>
    <definedName name="OBName1">'Sec. A-C DSH Year Data'!$B$58</definedName>
    <definedName name="OBName1_ADJ">'Sec. A-C DSH Year Data ADJ'!$B$58</definedName>
    <definedName name="OBName2">'Sec. A-C DSH Year Data'!$B$59</definedName>
    <definedName name="OBName2_ADJ">'Sec. A-C DSH Year Data ADJ'!$B$59</definedName>
    <definedName name="OBYes">'Sec. A-C DSH Year Data'!$I$35</definedName>
    <definedName name="OBYes_ADJ">'Sec. A-C DSH Year Data ADJ'!$I$35</definedName>
    <definedName name="OBYes_Payment">'Sec. A-C DSH Year Data'!$I$51</definedName>
    <definedName name="OBYes_Payment_ADJ">'Sec. A-C DSH Year Data ADJ'!$I$51</definedName>
    <definedName name="OBYes_Waiver">'DSH Waiver &amp; MIUR Data'!$J$47</definedName>
    <definedName name="OME_Days">'DSH Waiver &amp; MIUR Data'!$J$29</definedName>
    <definedName name="OpenAsOf_Exam">'Sec. A-C DSH Year Data'!$I$45</definedName>
    <definedName name="OpenAsOf_Exam_ADJ">'Sec. A-C DSH Year Data ADJ'!$I$45</definedName>
    <definedName name="OpenAsOf_Waiver">'DSH Waiver &amp; MIUR Data'!$J$64</definedName>
    <definedName name="OpenDate_Exam">'Sec. A-C DSH Year Data'!$I$47</definedName>
    <definedName name="OpenDate_Exam_ADJ">'Sec. A-C DSH Year Data ADJ'!$I$47</definedName>
    <definedName name="OpenDate_Waiver">'DSH Waiver &amp; MIUR Data'!$J$66</definedName>
    <definedName name="OptOut">'Survey Set-Up'!$U$10</definedName>
    <definedName name="OutputFolder">'Survey Set-Up'!$J$13</definedName>
    <definedName name="OwnershipType">'Sec. A-C DSH Year Data'!$27:$27</definedName>
    <definedName name="OwnershipType_ADJ">'Sec. A-C DSH Year Data ADJ'!$27:$27</definedName>
    <definedName name="OwnerType">'Sec. A-C DSH Year Data'!$E$27</definedName>
    <definedName name="OwnerType_ADJ">'Sec. A-C DSH Year Data ADJ'!$E$27</definedName>
    <definedName name="Paid_FFS_Xover_Days">'DSH Waiver &amp; MIUR Data'!$J$28</definedName>
    <definedName name="Paid_MCD_FFS_Days">'DSH Waiver &amp; MIUR Data'!$J$26</definedName>
    <definedName name="Paid_MCD_MCO_Days">'DSH Waiver &amp; MIUR Data'!$J$27</definedName>
    <definedName name="Paid_OOS_MCD_Days">'DSH Waiver &amp; MIUR Data'!$J$30</definedName>
    <definedName name="PoolType">'Sec. A-C DSH Year Data'!$28:$28</definedName>
    <definedName name="PoolType_ADJ">'Sec. A-C DSH Year Data ADJ'!$28:$28</definedName>
    <definedName name="PrelimOBquestions_1">'Sec. A-C DSH Year Data'!$49:$55</definedName>
    <definedName name="PrelimOBquestions_1_ADJ">'Sec. A-C DSH Year Data ADJ'!$49:$55</definedName>
    <definedName name="PrelimOBquestions_2">'Sec. A-C DSH Year Data'!$57:$65</definedName>
    <definedName name="PrelimOBquestions_2_ADJ">'Sec. A-C DSH Year Data ADJ'!$57:$65</definedName>
    <definedName name="Preparer_Email">'Sec. A-C DSH Year Data'!$J$117</definedName>
    <definedName name="Preparer_Email_ADJ">'Sec. A-C DSH Year Data ADJ'!$J$117</definedName>
    <definedName name="Preparer_Firm">'Sec. A-C DSH Year Data'!$J$115</definedName>
    <definedName name="Preparer_Firm_ADJ">'Sec. A-C DSH Year Data ADJ'!$J$115</definedName>
    <definedName name="Preparer_Name">'Sec. A-C DSH Year Data'!$J$113</definedName>
    <definedName name="Preparer_Name_ADJ">'Sec. A-C DSH Year Data ADJ'!$J$113</definedName>
    <definedName name="Preparer_Phone">'Sec. A-C DSH Year Data'!$J$116</definedName>
    <definedName name="Preparer_Phone_ADJ">'Sec. A-C DSH Year Data ADJ'!$J$116</definedName>
    <definedName name="Preparer_Title">'Sec. A-C DSH Year Data'!$J$114</definedName>
    <definedName name="Preparer_Title_ADJ">'Sec. A-C DSH Year Data ADJ'!$J$114</definedName>
    <definedName name="_xlnm.Print_Area" localSheetId="4">Instructions!$A$1:$D$28</definedName>
    <definedName name="_xlnm.Print_Area" localSheetId="3">'Survey Set-Up'!$A$4:$N$179</definedName>
    <definedName name="_xlnm.Print_Titles" localSheetId="13">'Exam Adjustments'!$8:$8</definedName>
    <definedName name="PriorYear">'Survey Set-Up'!$F$4</definedName>
    <definedName name="ProviderList">'Survey Set-Up'!$B$17:$B$178</definedName>
    <definedName name="ProviderPoolType">'Survey Set-Up'!$M$16:$M$178</definedName>
    <definedName name="PROVNAME" localSheetId="12">'Sec. A-C DSH Year Data ADJ'!$C$9</definedName>
    <definedName name="PROVNAME">'Sec. A-C DSH Year Data'!$C$9</definedName>
    <definedName name="RetainDSHHide1">'Sec. A-C DSH Year Data'!$87:$92</definedName>
    <definedName name="RetainDSHHide1_ADJ">'Sec. A-C DSH Year Data ADJ'!$87:$92</definedName>
    <definedName name="RetainDSHHide2">'Sec. A-C DSH Year Data'!$94:$98</definedName>
    <definedName name="RetainDSHHide2_ADJ">'Sec. A-C DSH Year Data ADJ'!$94:$98</definedName>
    <definedName name="RetainDSHYes">'Sec. A-C DSH Year Data'!$I$88</definedName>
    <definedName name="RetainDSHYes_ADJ">'Sec. A-C DSH Year Data ADJ'!$I$88</definedName>
    <definedName name="Signature">'Sec. A-C DSH Year Data'!$B$103</definedName>
    <definedName name="Signature_ADJ">'Sec. A-C DSH Year Data ADJ'!$B$103</definedName>
    <definedName name="Signature_Date">'Sec. A-C DSH Year Data'!$K$103</definedName>
    <definedName name="Signature_Date_ADJ">'Sec. A-C DSH Year Data ADJ'!$K$103</definedName>
    <definedName name="Signature_EMail">'Sec. A-C DSH Year Data'!$K$106</definedName>
    <definedName name="Signature_EMail_ADJ">'Sec. A-C DSH Year Data ADJ'!$K$106</definedName>
    <definedName name="Signature_Printed_Name">'Sec. A-C DSH Year Data'!$B$106</definedName>
    <definedName name="Signature_Printed_Name_ADJ">'Sec. A-C DSH Year Data ADJ'!$B$106</definedName>
    <definedName name="Signature_Telephone">'Sec. A-C DSH Year Data'!$E$106</definedName>
    <definedName name="Signature_Telephone_ADJ">'Sec. A-C DSH Year Data ADJ'!$E$106</definedName>
    <definedName name="Signature_Title">'Sec. A-C DSH Year Data'!$E$103</definedName>
    <definedName name="Signature_Title_ADJ">'Sec. A-C DSH Year Data ADJ'!$E$103</definedName>
    <definedName name="SmallRuralQualification">'DSH Qualification'!$5:$81</definedName>
    <definedName name="SMR_Qualification1">'DSH Qualification'!$L$22</definedName>
    <definedName name="SMR_Qualification10">'DSH Qualification'!$L$61</definedName>
    <definedName name="SMR_Qualification11">'DSH Qualification'!$L$65</definedName>
    <definedName name="SMR_Qualification12">'DSH Qualification'!$L$69</definedName>
    <definedName name="SMR_Qualification13">'DSH Qualification'!$L$73</definedName>
    <definedName name="SMR_Qualification14">'DSH Qualification'!$L$77</definedName>
    <definedName name="SMR_Qualification15">'DSH Qualification'!$L$79</definedName>
    <definedName name="SMR_Qualification2">'DSH Qualification'!$L$26</definedName>
    <definedName name="SMR_Qualification3">'DSH Qualification'!$L$32</definedName>
    <definedName name="SMR_Qualification4">'DSH Qualification'!$L$36</definedName>
    <definedName name="SMR_Qualification5">'DSH Qualification'!$L$40</definedName>
    <definedName name="SMR_Qualification6">'DSH Qualification'!$L$43</definedName>
    <definedName name="SMR_Qualification7">'DSH Qualification'!$L$46</definedName>
    <definedName name="SMR_Qualification8">'DSH Qualification'!$L$51</definedName>
    <definedName name="SMR_Qualification9">'DSH Qualification'!$L$56</definedName>
    <definedName name="State">'Survey Set-Up'!$B$1</definedName>
    <definedName name="SubNum1">'Sec. A-C DSH Year Data'!$E$24</definedName>
    <definedName name="SubNum1_ADJ">'Sec. A-C DSH Year Data ADJ'!$E$24</definedName>
    <definedName name="SubNum1Adj" localSheetId="12">'Sec. A-C DSH Year Data ADJ'!$I$24</definedName>
    <definedName name="SubNum2">'Sec. A-C DSH Year Data'!$E$25</definedName>
    <definedName name="SubNum2_ADJ">'Sec. A-C DSH Year Data ADJ'!$E$25</definedName>
    <definedName name="SubNum2Adj" localSheetId="12">'Sec. A-C DSH Year Data ADJ'!$I$25</definedName>
    <definedName name="SuppPmtsHide">'Sec. A-C DSH Year Data'!$75:$85</definedName>
    <definedName name="SuppPmtsHide_ADJ">'Sec. A-C DSH Year Data ADJ'!$75:$85</definedName>
    <definedName name="TaxForm">'Survey Set-Up'!$K$4</definedName>
    <definedName name="TemplateKey">‡‡MappingConfig‡‡!$B$2</definedName>
    <definedName name="TotHospDays">'DSH Waiver &amp; MIUR Data'!$J$39</definedName>
    <definedName name="TotHospDaysperCR">'DSH Waiver &amp; MIUR Data'!$J$31</definedName>
    <definedName name="UnreconciledDays">'DSH Waiver &amp; MIUR Data'!$J$33</definedName>
    <definedName name="UPL_Payments">'Sec. A-C DSH Year Data'!$I$84</definedName>
    <definedName name="UPL_Payments_ADJ">'Sec. A-C DSH Year Data ADJ'!$I$84</definedName>
    <definedName name="Version">'Sec. A-C DSH Year Data'!$K$3</definedName>
    <definedName name="Version_ADJ">'Sec. A-C DSH Year Data ADJ'!$K$3</definedName>
    <definedName name="Version_Name">‡‡MappingConfig‡‡!$B$3</definedName>
    <definedName name="Version_Stamp">‡‡MappingConfig‡‡!$B$4</definedName>
    <definedName name="Waiver_OB_1">'DSH Waiver &amp; MIUR Data'!$B$54</definedName>
    <definedName name="Waiver_OB_2">'DSH Waiver &amp; MIUR Data'!$B$55</definedName>
    <definedName name="Waiver_Response">'DSH Waiver &amp; MIUR Data'!$G$18</definedName>
    <definedName name="WaiverDate">'DSH Waiver &amp; MIUR Data'!$G$88</definedName>
    <definedName name="WaiverPrintedName">'DSH Waiver &amp; MIUR Data'!$B$92</definedName>
    <definedName name="WaiverSignature">'DSH Waiver &amp; MIUR Data'!$B$88</definedName>
    <definedName name="WaiverTitle">'DSH Waiver &amp; MIUR Data'!$B$96</definedName>
    <definedName name="WebPortal">'Survey Set-Up'!$I$6</definedName>
    <definedName name="WI_DSH_Qualification">'Sec. A-C DSH Year Data'!$71:$73</definedName>
    <definedName name="WI_DSH_Qualification_ADJ">'Sec. A-C DSH Year Data ADJ'!$71:$73</definedName>
    <definedName name="WI_DSH_Qualification_Criteria">'DSH Waiver &amp; MIUR Data'!$68:$77</definedName>
    <definedName name="WI_DSHQualification_1">'DSH Waiver &amp; MIUR Data'!$J$75</definedName>
    <definedName name="WI_ED_Qualification">'Sec. A-C DSH Year Data'!$I$71</definedName>
    <definedName name="WI_ED_Qualification_ADJ">'Sec. A-C DSH Year Data ADJ'!$I$71</definedName>
    <definedName name="Wisconsin_Instructions">Instructions!$AA$3</definedName>
    <definedName name="Wisconsin_Title">Instructions!$Z$3</definedName>
    <definedName name="WithTax">'Survey Set-Up'!$U$4</definedName>
    <definedName name="Year">'Survey Set-Up'!$E$4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33" l="1"/>
  <c r="E4" i="4" l="1"/>
  <c r="E6" i="2" l="1"/>
  <c r="C6" i="2"/>
  <c r="B72" i="35" l="1"/>
  <c r="A42" i="35" l="1"/>
  <c r="O1" i="1" l="1"/>
  <c r="I71" i="33"/>
  <c r="K29" i="31" s="1"/>
  <c r="I29" i="31"/>
  <c r="G29" i="31"/>
  <c r="Q3" i="1"/>
  <c r="C3" i="1" s="1"/>
  <c r="B80" i="35"/>
  <c r="B30" i="35"/>
  <c r="B29" i="35"/>
  <c r="B28" i="35"/>
  <c r="J29" i="31" l="1"/>
  <c r="B72" i="33"/>
  <c r="B71" i="33"/>
  <c r="A71" i="33"/>
  <c r="B100" i="2" l="1"/>
  <c r="I84" i="2" l="1"/>
  <c r="I80" i="33" l="1"/>
  <c r="K19" i="31" s="1"/>
  <c r="I77" i="33"/>
  <c r="I19" i="31"/>
  <c r="I18" i="31"/>
  <c r="C20" i="31"/>
  <c r="C19" i="31"/>
  <c r="C18" i="31"/>
  <c r="I20" i="31"/>
  <c r="G20" i="31"/>
  <c r="G19" i="31"/>
  <c r="K18" i="31" l="1"/>
  <c r="I84" i="33"/>
  <c r="K20" i="31" s="1"/>
  <c r="J20" i="31" s="1"/>
  <c r="J19" i="31"/>
  <c r="C15" i="1"/>
  <c r="A10" i="1" l="1"/>
  <c r="A21" i="1"/>
  <c r="A17" i="1"/>
  <c r="A13" i="1"/>
  <c r="A12" i="1"/>
  <c r="A9" i="1"/>
  <c r="A7" i="1"/>
  <c r="Q23" i="1"/>
  <c r="C23" i="1" s="1"/>
  <c r="Q19" i="1"/>
  <c r="C19" i="1" s="1"/>
  <c r="Q12" i="1"/>
  <c r="C12" i="1" s="1"/>
  <c r="Q9" i="1"/>
  <c r="Q7" i="1"/>
  <c r="C7" i="1" s="1"/>
  <c r="C25" i="1"/>
  <c r="A25" i="1"/>
  <c r="A24" i="1"/>
  <c r="O27" i="1"/>
  <c r="O3" i="1"/>
  <c r="A3" i="1" s="1"/>
  <c r="A1" i="1"/>
  <c r="V5" i="1"/>
  <c r="A5" i="1" s="1"/>
  <c r="V27" i="1"/>
  <c r="H27" i="1"/>
  <c r="A27" i="1"/>
  <c r="B77" i="2"/>
  <c r="B84" i="2"/>
  <c r="A84" i="33"/>
  <c r="B82" i="33"/>
  <c r="B81" i="33"/>
  <c r="A6" i="33"/>
  <c r="A9" i="33"/>
  <c r="A18" i="33"/>
  <c r="A17" i="33"/>
  <c r="A16" i="33"/>
  <c r="A28" i="33"/>
  <c r="A27" i="33"/>
  <c r="A26" i="33"/>
  <c r="A25" i="33"/>
  <c r="A24" i="33"/>
  <c r="A23" i="33"/>
  <c r="A88" i="33"/>
  <c r="A80" i="33"/>
  <c r="A77" i="33"/>
  <c r="B78" i="2"/>
  <c r="F22" i="42"/>
  <c r="B84" i="33" l="1"/>
  <c r="D20" i="31"/>
  <c r="B77" i="33"/>
  <c r="D18" i="31"/>
  <c r="B80" i="2"/>
  <c r="D11" i="42"/>
  <c r="D10" i="42"/>
  <c r="D9" i="42"/>
  <c r="I28" i="31"/>
  <c r="G28" i="31"/>
  <c r="I27" i="31"/>
  <c r="G27" i="31"/>
  <c r="I26" i="31"/>
  <c r="G26" i="31"/>
  <c r="I25" i="31"/>
  <c r="G25" i="31"/>
  <c r="I24" i="31"/>
  <c r="G24" i="31"/>
  <c r="I23" i="31"/>
  <c r="G23" i="31"/>
  <c r="G22" i="31"/>
  <c r="G21" i="31"/>
  <c r="G18" i="31"/>
  <c r="I17" i="31"/>
  <c r="G17" i="31"/>
  <c r="I16" i="31"/>
  <c r="G16" i="31"/>
  <c r="I15" i="31"/>
  <c r="G15" i="31"/>
  <c r="I14" i="31"/>
  <c r="G14" i="31"/>
  <c r="I13" i="31"/>
  <c r="G13" i="31"/>
  <c r="I12" i="31"/>
  <c r="G12" i="31"/>
  <c r="I11" i="31"/>
  <c r="G11" i="31"/>
  <c r="I10" i="31"/>
  <c r="G10" i="31"/>
  <c r="I9" i="31"/>
  <c r="G9" i="31"/>
  <c r="F4" i="31"/>
  <c r="C4" i="31"/>
  <c r="H40" i="8"/>
  <c r="H39" i="8"/>
  <c r="H38" i="8"/>
  <c r="H37" i="8"/>
  <c r="H36" i="8"/>
  <c r="H35" i="8"/>
  <c r="H34" i="8"/>
  <c r="E3" i="8"/>
  <c r="C118" i="33"/>
  <c r="J117" i="33"/>
  <c r="C117" i="33"/>
  <c r="J116" i="33"/>
  <c r="C116" i="33"/>
  <c r="J115" i="33"/>
  <c r="C115" i="33"/>
  <c r="J114" i="33"/>
  <c r="C114" i="33"/>
  <c r="J113" i="33"/>
  <c r="C113" i="33"/>
  <c r="K106" i="33"/>
  <c r="E106" i="33"/>
  <c r="B106" i="33"/>
  <c r="K103" i="33"/>
  <c r="E103" i="33"/>
  <c r="B103" i="33"/>
  <c r="B97" i="33"/>
  <c r="B96" i="33"/>
  <c r="I88" i="33"/>
  <c r="K9" i="31" s="1"/>
  <c r="I69" i="33"/>
  <c r="K28" i="31" s="1"/>
  <c r="G69" i="33"/>
  <c r="K26" i="31" s="1"/>
  <c r="B69" i="33"/>
  <c r="K24" i="31" s="1"/>
  <c r="I68" i="33"/>
  <c r="K27" i="31" s="1"/>
  <c r="G68" i="33"/>
  <c r="K25" i="31" s="1"/>
  <c r="B68" i="33"/>
  <c r="K23" i="31" s="1"/>
  <c r="B65" i="33"/>
  <c r="B64" i="33"/>
  <c r="I63" i="33"/>
  <c r="K17" i="31" s="1"/>
  <c r="B63" i="33"/>
  <c r="A63" i="33"/>
  <c r="B62" i="33"/>
  <c r="I61" i="33"/>
  <c r="K16" i="31" s="1"/>
  <c r="B61" i="33"/>
  <c r="A61" i="33"/>
  <c r="B59" i="33"/>
  <c r="B58" i="33"/>
  <c r="B57" i="33"/>
  <c r="B54" i="33"/>
  <c r="B53" i="33"/>
  <c r="B52" i="33"/>
  <c r="I51" i="33"/>
  <c r="K15" i="31" s="1"/>
  <c r="B51" i="33"/>
  <c r="A51" i="33"/>
  <c r="B50" i="33"/>
  <c r="B49" i="33"/>
  <c r="I47" i="33"/>
  <c r="K14" i="31" s="1"/>
  <c r="A47" i="33"/>
  <c r="I45" i="33"/>
  <c r="K13" i="31" s="1"/>
  <c r="A45" i="33"/>
  <c r="I41" i="33"/>
  <c r="K12" i="31" s="1"/>
  <c r="A41" i="33"/>
  <c r="I39" i="33"/>
  <c r="K11" i="31" s="1"/>
  <c r="A39" i="33"/>
  <c r="I35" i="33"/>
  <c r="K10" i="31" s="1"/>
  <c r="A35" i="33"/>
  <c r="B33" i="33"/>
  <c r="C9" i="33"/>
  <c r="C3" i="31" s="1"/>
  <c r="E6" i="33"/>
  <c r="C6" i="33"/>
  <c r="AE4" i="33"/>
  <c r="AE3" i="33"/>
  <c r="M3" i="33"/>
  <c r="K3" i="33"/>
  <c r="B100" i="33"/>
  <c r="B78" i="33"/>
  <c r="I50" i="2"/>
  <c r="I50" i="33" s="1"/>
  <c r="I34" i="2"/>
  <c r="I34" i="33" s="1"/>
  <c r="B34" i="2"/>
  <c r="B34" i="33" s="1"/>
  <c r="E28" i="2"/>
  <c r="A134" i="41" s="1"/>
  <c r="E27" i="2"/>
  <c r="E27" i="33" s="1"/>
  <c r="K21" i="31" s="1"/>
  <c r="E26" i="2"/>
  <c r="E26" i="33" s="1"/>
  <c r="E11" i="35" s="1"/>
  <c r="E25" i="2"/>
  <c r="E25" i="33" s="1"/>
  <c r="E24" i="2"/>
  <c r="E24" i="33" s="1"/>
  <c r="E23" i="2"/>
  <c r="E23" i="33" s="1"/>
  <c r="E18" i="2"/>
  <c r="C18" i="2"/>
  <c r="C18" i="33" s="1"/>
  <c r="E17" i="2"/>
  <c r="C17" i="2"/>
  <c r="C17" i="33" s="1"/>
  <c r="E16" i="2"/>
  <c r="E16" i="33" s="1"/>
  <c r="C16" i="2"/>
  <c r="AC4" i="2"/>
  <c r="AC3" i="2"/>
  <c r="A213" i="41"/>
  <c r="A215" i="41" s="1"/>
  <c r="B178" i="41"/>
  <c r="B168" i="41"/>
  <c r="A16" i="41"/>
  <c r="J46" i="35"/>
  <c r="J39" i="35"/>
  <c r="J40" i="35" s="1"/>
  <c r="J38" i="35"/>
  <c r="A36" i="35"/>
  <c r="J33" i="35"/>
  <c r="B33" i="35"/>
  <c r="B27" i="35"/>
  <c r="B26" i="35"/>
  <c r="B24" i="35"/>
  <c r="B20" i="35"/>
  <c r="B18" i="35"/>
  <c r="B16" i="35"/>
  <c r="B8" i="35"/>
  <c r="A19" i="4"/>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J9" i="31" l="1"/>
  <c r="B80" i="33"/>
  <c r="D19" i="31"/>
  <c r="J25" i="31"/>
  <c r="A2" i="42"/>
  <c r="B1" i="52"/>
  <c r="X9" i="1"/>
  <c r="C9" i="1" s="1"/>
  <c r="E17" i="33"/>
  <c r="E18" i="33"/>
  <c r="A98" i="41"/>
  <c r="J11" i="31"/>
  <c r="J10" i="31"/>
  <c r="J14" i="31"/>
  <c r="J18" i="31"/>
  <c r="J23" i="31"/>
  <c r="A83" i="41"/>
  <c r="G18" i="2"/>
  <c r="E5" i="8"/>
  <c r="E6" i="35"/>
  <c r="G17" i="2"/>
  <c r="E28" i="33"/>
  <c r="K22" i="31" s="1"/>
  <c r="J24" i="31"/>
  <c r="J28" i="31"/>
  <c r="A12" i="41"/>
  <c r="G16" i="2"/>
  <c r="J12" i="31"/>
  <c r="J27" i="31"/>
  <c r="F31" i="42"/>
  <c r="I21" i="31"/>
  <c r="J21" i="31" s="1"/>
  <c r="E4" i="8"/>
  <c r="B135" i="41"/>
  <c r="J16" i="31"/>
  <c r="J13" i="31"/>
  <c r="J17" i="31"/>
  <c r="J15" i="31"/>
  <c r="J26" i="31"/>
  <c r="E6" i="8"/>
  <c r="C16" i="33"/>
  <c r="E8" i="35"/>
  <c r="J3" i="31"/>
  <c r="F4" i="4"/>
  <c r="J10" i="1" s="1"/>
  <c r="Q10" i="1" s="1"/>
  <c r="C10" i="1" s="1"/>
  <c r="J4" i="31"/>
  <c r="I22" i="31"/>
  <c r="A108" i="41"/>
  <c r="J23" i="35" l="1"/>
  <c r="J22" i="31"/>
</calcChain>
</file>

<file path=xl/sharedStrings.xml><?xml version="1.0" encoding="utf-8"?>
<sst xmlns="http://schemas.openxmlformats.org/spreadsheetml/2006/main" count="3034" uniqueCount="1643">
  <si>
    <t>Medicaid Provider Number:</t>
  </si>
  <si>
    <t>Medicare Provider Number:</t>
  </si>
  <si>
    <t xml:space="preserve">   Medicaid Subprovider Number 1 (Psychiatric or Rehab):</t>
  </si>
  <si>
    <t xml:space="preserve">   Medicaid Subprovider Number 2 (Psychiatric or Rehab):</t>
  </si>
  <si>
    <t>Medicaid SubProvider1 ID</t>
  </si>
  <si>
    <t>Medicaid SubProvider2 ID</t>
  </si>
  <si>
    <t>M'caid Sub 1 #</t>
  </si>
  <si>
    <t>M'caid Sub 2 #</t>
  </si>
  <si>
    <t>M'care #</t>
  </si>
  <si>
    <t>Certification:</t>
  </si>
  <si>
    <t>1.</t>
  </si>
  <si>
    <t>2.</t>
  </si>
  <si>
    <t>Name</t>
  </si>
  <si>
    <t>The following certification is to be completed by the hospital's CEO or CFO:</t>
  </si>
  <si>
    <t>Date</t>
  </si>
  <si>
    <t>Data</t>
  </si>
  <si>
    <t>Report Period From</t>
  </si>
  <si>
    <t>Reporting Period To</t>
  </si>
  <si>
    <t>Select Your Facility from the Drop-Down Menu Provided:</t>
  </si>
  <si>
    <t>SELECT HOSPITAL NAME</t>
  </si>
  <si>
    <t>M'Caid #</t>
  </si>
  <si>
    <t>Hospital CEO or CFO</t>
  </si>
  <si>
    <t>Title</t>
  </si>
  <si>
    <t>Telephone Number</t>
  </si>
  <si>
    <t>E-Mail Address</t>
  </si>
  <si>
    <t>Line #</t>
  </si>
  <si>
    <t xml:space="preserve">located in a rural area, the term "obstetrician" includes any physician with staff privileges at the </t>
  </si>
  <si>
    <t>emergency obstetric services to the general population when federal Medicaid DSH regulations</t>
  </si>
  <si>
    <t>Hospital Name</t>
  </si>
  <si>
    <t>Medicaid Provider ID</t>
  </si>
  <si>
    <t>Medicare Provider ID</t>
  </si>
  <si>
    <t>inpatients are predominantly under 18 years of age?</t>
  </si>
  <si>
    <t>Cost Report</t>
  </si>
  <si>
    <t>Begin Date(s)</t>
  </si>
  <si>
    <t>End Date(s)</t>
  </si>
  <si>
    <t>Was your hospital allowed to retain 100% of the DSH payment it received for this DSH year?</t>
  </si>
  <si>
    <t>hospital was not allowed to retain 100% of its DSH payments, please explain what circumstances were</t>
  </si>
  <si>
    <t>ALABAMA</t>
  </si>
  <si>
    <t>ALASKA</t>
  </si>
  <si>
    <t xml:space="preserve">ARIZONA </t>
  </si>
  <si>
    <t>ARKANSAS</t>
  </si>
  <si>
    <t xml:space="preserve">COLORADO </t>
  </si>
  <si>
    <t>CONNECTICUT</t>
  </si>
  <si>
    <t>DELAWARE</t>
  </si>
  <si>
    <t>DISTRICT OF COLUMBIA</t>
  </si>
  <si>
    <t>FLORIDA</t>
  </si>
  <si>
    <t>GEORGIA</t>
  </si>
  <si>
    <t>HAWAII</t>
  </si>
  <si>
    <t>IOWA</t>
  </si>
  <si>
    <t>MAINE</t>
  </si>
  <si>
    <t>MASSACHUSETTS</t>
  </si>
  <si>
    <t>MICHIGAN</t>
  </si>
  <si>
    <t>MINNESOTA</t>
  </si>
  <si>
    <t>MISSISSIPPI</t>
  </si>
  <si>
    <t>MONTANA</t>
  </si>
  <si>
    <t>NEBRASKA</t>
  </si>
  <si>
    <t>NEVADA</t>
  </si>
  <si>
    <t>NEW HAMPSHIRE</t>
  </si>
  <si>
    <t>NEW JERSEY</t>
  </si>
  <si>
    <t>NEW MEXICO</t>
  </si>
  <si>
    <t>NEW YORK</t>
  </si>
  <si>
    <t>NORTH CAROLINA</t>
  </si>
  <si>
    <t>NORTH DAKOTA</t>
  </si>
  <si>
    <t>OHIO</t>
  </si>
  <si>
    <t>Matching the federal share with an IGT/CPE is not a basis for answering this question "no".  If your</t>
  </si>
  <si>
    <t>present that prevented the hospital from retaining its payments.</t>
  </si>
  <si>
    <t>Contact Information for individuals authorized to respond to inquiries related to this survey:</t>
  </si>
  <si>
    <t>Hospital Contact:</t>
  </si>
  <si>
    <t>Outside Preparer:</t>
  </si>
  <si>
    <t>Firm Name:</t>
  </si>
  <si>
    <t>Title:</t>
  </si>
  <si>
    <t>DSH Survey Submission Checklist</t>
  </si>
  <si>
    <t>Electronic copy of Exhibit B - Self-Pay Payments</t>
  </si>
  <si>
    <t>Electronic copy of Exhibit A - Uninsured Charges / Days</t>
  </si>
  <si>
    <r>
      <t xml:space="preserve">Copies of all </t>
    </r>
    <r>
      <rPr>
        <u/>
        <sz val="12"/>
        <rFont val="Arial"/>
        <family val="2"/>
      </rPr>
      <t>out-of-state</t>
    </r>
    <r>
      <rPr>
        <sz val="12"/>
        <rFont val="Arial"/>
        <family val="2"/>
      </rPr>
      <t xml:space="preserve"> Medicaid fee-for-service PS&amp;Rs (Remittance Advice Summary or Paid Claims Summary including crossovers)</t>
    </r>
  </si>
  <si>
    <r>
      <t xml:space="preserve">Copies of all </t>
    </r>
    <r>
      <rPr>
        <u/>
        <sz val="12"/>
        <rFont val="Arial"/>
        <family val="2"/>
      </rPr>
      <t>out-of-state</t>
    </r>
    <r>
      <rPr>
        <sz val="12"/>
        <rFont val="Arial"/>
        <family val="2"/>
      </rPr>
      <t xml:space="preserve"> Medicaid managed care PS&amp;Rs (Remittance Advice Summary or Paid Claims Summary including crossovers)</t>
    </r>
  </si>
  <si>
    <t>Copies of in-state Medicaid managed care PS&amp;Rs (Remittance Advice Summary or Paid Claims Summary including crossovers)</t>
  </si>
  <si>
    <t>Did the hospital have at least two obstetricians who had staff privileges at the hospital that agreed to</t>
  </si>
  <si>
    <t>provide obstetric services to Medicaid-eligible individuals during the DSH year?  (In the case of a hospital</t>
  </si>
  <si>
    <t>Support for Section 1011 (Undocumented Alien) payments if not applied at patient level in Exhibit B</t>
  </si>
  <si>
    <t>A detailed working trial balance used to prepare each cost report (including revenues)</t>
  </si>
  <si>
    <t>Mailing Street Address</t>
  </si>
  <si>
    <t>Mailing City, State, Zip</t>
  </si>
  <si>
    <t>Explanation for Adjustment</t>
  </si>
  <si>
    <t>Column</t>
  </si>
  <si>
    <t>Schedule</t>
  </si>
  <si>
    <t>Adj. #</t>
  </si>
  <si>
    <t>TO:</t>
  </si>
  <si>
    <t>FROM:</t>
  </si>
  <si>
    <t>PROVIDER:</t>
  </si>
  <si>
    <t>Original Amount</t>
  </si>
  <si>
    <t>Adjusted Total</t>
  </si>
  <si>
    <t>Mcaid Number:</t>
  </si>
  <si>
    <t>Mcare Number:</t>
  </si>
  <si>
    <t>1.00</t>
  </si>
  <si>
    <t>Year</t>
  </si>
  <si>
    <t>Adjustment</t>
  </si>
  <si>
    <t>State:</t>
  </si>
  <si>
    <t>Year:</t>
  </si>
  <si>
    <t>Line Description</t>
  </si>
  <si>
    <t>Column Description</t>
  </si>
  <si>
    <t>Certification</t>
  </si>
  <si>
    <t>Retain 100% of DSH Payment?</t>
  </si>
  <si>
    <t>Have two OBs?</t>
  </si>
  <si>
    <t>Exempt to OB due to inpatients under age 18?</t>
  </si>
  <si>
    <t>Exempt to OB due to not offering OB on 12/22/87?</t>
  </si>
  <si>
    <t>Adjust to state's report.</t>
  </si>
  <si>
    <t>Answer</t>
  </si>
  <si>
    <t>Explanation for "No" answers:</t>
  </si>
  <si>
    <t>Submission Information  (Flows to Checklist Sheet)</t>
  </si>
  <si>
    <t>DSH Year:</t>
  </si>
  <si>
    <t>Cost Report Year 1</t>
  </si>
  <si>
    <t>Cost Report Year 2 (if applicable)</t>
  </si>
  <si>
    <t>Cost Report Year 3 (if applicable)</t>
  </si>
  <si>
    <t/>
  </si>
  <si>
    <t xml:space="preserve">Was the hospital exempt from the requirement listed under #1 above because the hospital's </t>
  </si>
  <si>
    <t>Begin</t>
  </si>
  <si>
    <t>End</t>
  </si>
  <si>
    <t>Identification of cost reports needed to cover the DSH Year:</t>
  </si>
  <si>
    <t>C.  Disclosure of Supplemental Medicaid Payments Received:</t>
  </si>
  <si>
    <t>A.  General DSH Year Information</t>
  </si>
  <si>
    <t>A. General Instructions and Identification of Cost Reports that Cover the DSH Year:</t>
  </si>
  <si>
    <t>Hospital CEO or CFO Signature</t>
  </si>
  <si>
    <t>Hospital CEO or CFO Printed Name</t>
  </si>
  <si>
    <t>Hospital CEO or CFO Telephone Number</t>
  </si>
  <si>
    <t>Hospital CEO or CFO E-Mail</t>
  </si>
  <si>
    <t>After entering state, click on "Run page setup" below to set-up the headers and footers with the state name and year (in all sheets).  This is a slow process so be patient!</t>
  </si>
  <si>
    <t>Myers and Stauffer LC</t>
  </si>
  <si>
    <t>Was the hospital exempt from the requirement listed under #1 above because it did not offer non-</t>
  </si>
  <si>
    <t>If more providers are needed, insert rows above this line. DO NOT delete this line and continue the list.</t>
  </si>
  <si>
    <t>Output Directory:</t>
  </si>
  <si>
    <t>C.  Disclosure of Other Medicaid Payments Received:</t>
  </si>
  <si>
    <t>C. Disclosure of Other Medicaid Payments Received:</t>
  </si>
  <si>
    <t>C - Disclosure of Other M'Caid Payments</t>
  </si>
  <si>
    <t>ATTN:  DSH Examinations</t>
  </si>
  <si>
    <t>Medicaid DSH Survey Adjustments</t>
  </si>
  <si>
    <t>Myers and Stauffer DSH Survey Adjustments</t>
  </si>
  <si>
    <t xml:space="preserve">were enacted on December 22, 1987?  </t>
  </si>
  <si>
    <t xml:space="preserve">inpatients are predominantly under 18 years of age? </t>
  </si>
  <si>
    <t>Questions 1-3, below, should be answered in the accordance with Sec. 1923(d) of the Social Security Act.</t>
  </si>
  <si>
    <t>- Must be in Excel (.xls or .xlsx) or CSV (.csv) using either a TAB or | (pipe symbol above the ENTER key)</t>
  </si>
  <si>
    <t>5 (a).</t>
  </si>
  <si>
    <t>5 (b).</t>
  </si>
  <si>
    <t>6 (a).</t>
  </si>
  <si>
    <t>6 (b).</t>
  </si>
  <si>
    <t>7 (a).</t>
  </si>
  <si>
    <t>7 (b).</t>
  </si>
  <si>
    <t>Please indicate with an "X" each item included or a "N/A" if not included.  Consider a separate cover letter to explain any "N/A" answers to avoid additional documentation requests.</t>
  </si>
  <si>
    <t>Electronic copy of Exhibit C for hospital-generated data (includes Medicaid eligibles, Medicare crossover, Medicaid MCO, or Out-Of-State Medicaid data that isn't supported by a state-provided or MCO-provided report)</t>
  </si>
  <si>
    <t>Please Call Myers and Stauffer if you have any questions on completing the DSH survey.</t>
  </si>
  <si>
    <t>DSH Version</t>
  </si>
  <si>
    <t>Including Section L (provider tax form) in Part II?</t>
  </si>
  <si>
    <t>Workpaper #:</t>
  </si>
  <si>
    <t>Date:</t>
  </si>
  <si>
    <t>Examiner:</t>
  </si>
  <si>
    <t>Adjust answer based on examination results.</t>
  </si>
  <si>
    <t xml:space="preserve">hospital to perform nonemergency obstetric procedures.)  </t>
  </si>
  <si>
    <t>hospital to perform nonemergency obstetric procedures.)</t>
  </si>
  <si>
    <t>Revenue code cross-walk used to prepare cost report, or supporting grouping schedules</t>
  </si>
  <si>
    <t>Financial statements or other documentation to support total charity care charges and subsidies reported on Section F of DSH Survey Part II</t>
  </si>
  <si>
    <t>DSH Payment Year:</t>
  </si>
  <si>
    <t>From:</t>
  </si>
  <si>
    <t>To:</t>
  </si>
  <si>
    <t>Signature of CEO or Other Authorized Person</t>
  </si>
  <si>
    <t>Print Name</t>
  </si>
  <si>
    <r>
      <t xml:space="preserve">Total Hospital Days Per Cost Report Excluding Swing-Bed </t>
    </r>
    <r>
      <rPr>
        <sz val="9"/>
        <rFont val="Arial"/>
        <family val="2"/>
      </rPr>
      <t>(C/R, W/S S-3, Pt. I, Col. 8, Sum of Lns. 14, 16, 17, 18.xx less lines 5 &amp; 6)</t>
    </r>
  </si>
  <si>
    <r>
      <t xml:space="preserve">Total Medicaid Hospital Days Per Cost Report Excluding Swing Bed </t>
    </r>
    <r>
      <rPr>
        <sz val="9"/>
        <rFont val="Arial"/>
        <family val="2"/>
      </rPr>
      <t>(W/S S-3, Pt. I, Col. 7, Sum of Lns. 2-4, 14, 16, 17, 18.xx less lines 5 &amp; 6)</t>
    </r>
  </si>
  <si>
    <t>Total Medicaid Eligible Days</t>
  </si>
  <si>
    <t>Total Hospital Days (excludes swing-bed)</t>
  </si>
  <si>
    <t>MIUR</t>
  </si>
  <si>
    <t>Required Federal Reporting of MIUR Data - Hospital Patient Days</t>
  </si>
  <si>
    <t>Sum of Line 6 thru Line 10</t>
  </si>
  <si>
    <t>Line 11</t>
  </si>
  <si>
    <t>Line 14 divided by Line 15</t>
  </si>
  <si>
    <t>Adjust answer based on review results.</t>
  </si>
  <si>
    <t>Questions 4-6, below, should be answered in the accordance with Sec. 1923(d) of the Social Security Act.</t>
  </si>
  <si>
    <t>During the Interim DSH Payment Year:</t>
  </si>
  <si>
    <t xml:space="preserve">Is the hospital exempt from the requirement listed under #1 above because the hospital's </t>
  </si>
  <si>
    <t>List the Names of the two Obstetricians (or case of rural hospital, Physicians) who have agreed to perform OB services:</t>
  </si>
  <si>
    <t>Is the hospital exempt from the requirement listed under #1 above because it did not offer non-</t>
  </si>
  <si>
    <t>Was the hospital open as of December 22, 1987?</t>
  </si>
  <si>
    <t>What date did the hospital open?</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</si>
  <si>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 unless it submits a request to the MO HealthNet Division to be included in the independent DSH examination.</t>
  </si>
  <si>
    <t>If you selected "Yes" above, you must fill out the days below.  CMS requires that the State of Missouri submit the MIUR for each hospital in the state that receives a Medicaid payment.  This information is necessary for the accurate reporting of the MIUR and may affect future federal funding.</t>
  </si>
  <si>
    <t>DSH Waiver &amp; MIUR Data Form</t>
  </si>
  <si>
    <t>General Information &amp; DSH Waiver</t>
  </si>
  <si>
    <t>Note:</t>
  </si>
  <si>
    <t>If you selected "No" above, you do not need to fill out the days or certification block below.</t>
  </si>
  <si>
    <t>DSH Waiver &amp; MIUR Data</t>
  </si>
  <si>
    <t>Year Hospital opened?</t>
  </si>
  <si>
    <t xml:space="preserve">A DSH Waiver &amp; MIUR Data form is included in DSH Survey Part I. A hospital that did not receive an interim DSH payment for the year under examination and elects not to receive a Missouri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Missouri to submit the MIUR for each hospital in the state that receives a Medicaid payment.  It is important that the “Days” section is completed so the MIUR can be accurately reported to CMS as the MIUR data may affect future federal funding.    </t>
  </si>
  <si>
    <t>Does the hospital have at least two obstetricians who have staff privileges at the hospital who have agreed to</t>
  </si>
  <si>
    <t>No</t>
  </si>
  <si>
    <t>3a.</t>
  </si>
  <si>
    <t>19a.</t>
  </si>
  <si>
    <t>19b.</t>
  </si>
  <si>
    <t>3a</t>
  </si>
  <si>
    <t>3b.</t>
  </si>
  <si>
    <t>3b</t>
  </si>
  <si>
    <t>Was the hospital open as of 12/22/87?</t>
  </si>
  <si>
    <t>Reviewer:</t>
  </si>
  <si>
    <t>If you selected "No" above, you do not need to fill out the OB responses or certification block below. Please complete the OB responses on "Sec. A-C DSH Year Data".</t>
  </si>
  <si>
    <t>Questions 17-19, below, should be answered in the accordance with Sec. 1923(d) of the Social Security Act.</t>
  </si>
  <si>
    <t>Are you using the Myers and Stauffer DSH Web Portal?</t>
  </si>
  <si>
    <t>https://dsh.mslc.com</t>
  </si>
  <si>
    <t>Please upload all checklist items above to the Myers and Stauffer Web Portal. If you are unable to access the Web Portal, please call or email. Web Portal Address:</t>
  </si>
  <si>
    <t>- Must be in Excel (.xls or .xlsx) or CSV (.csv) using either a TAB or | (pipe symbol above the ENTER key).</t>
  </si>
  <si>
    <t>- Examples may include remittances, detailed general ledgers, or add-on rates.</t>
  </si>
  <si>
    <t>Description of logic used to compile Exhibit B. Include a copy of all transaction codes utilized to post payments during the cost reporting period and a description of which codes were included or excluded if applicable.</t>
  </si>
  <si>
    <t>Documentation supporting out-of-state DSH payments received</t>
  </si>
  <si>
    <t>Electronic copy of all cost reports used to prepare each DSH Survey Part II</t>
  </si>
  <si>
    <t>Documentation supporting cost report payments calculated for Medicaid/Medicare cross-overs (dual eligible cost report payments)</t>
  </si>
  <si>
    <t>Documentation supporting Medicaid Managed Care Quality Incentive Payments, or any other Medicaid Managed Care lump sum payments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</si>
  <si>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</si>
  <si>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Supporting documentation for all data elements provided within the DSH survey must be maintained for a minimum of five years from the date of survey submission.</t>
  </si>
  <si>
    <t>Yes</t>
  </si>
  <si>
    <t>Louisiana DSH Pool-Specific Qualification Questionnaire</t>
  </si>
  <si>
    <t>Answer (Yes/No)</t>
  </si>
  <si>
    <t>Facility is public (Parish, Municipal or Other Governmental).</t>
  </si>
  <si>
    <t>Facility receives matching local governmental funding.</t>
  </si>
  <si>
    <t>a.</t>
  </si>
  <si>
    <t>b.</t>
  </si>
  <si>
    <t>c.</t>
  </si>
  <si>
    <t>d.</t>
  </si>
  <si>
    <t xml:space="preserve">Effective for dates of service on or after January 21, 2010, be a hospital participating </t>
  </si>
  <si>
    <t>in the Low Income and Needy Care Collaboration.</t>
  </si>
  <si>
    <t xml:space="preserve">Effective for dates of service on or after June 30, 2016, hospitals qualifying for payments </t>
  </si>
  <si>
    <t xml:space="preserve">as major medical centers located in the central and northern areas of the State shall meet </t>
  </si>
  <si>
    <t xml:space="preserve">the following criteria (please check all applicable criteria the facility meets and provide </t>
  </si>
  <si>
    <t>supporting documentation if applicable):</t>
  </si>
  <si>
    <t xml:space="preserve">have at least 200 inpatient beds as reported on the Medicare/Medicaid cost report, </t>
  </si>
  <si>
    <t>Provider Pool Type</t>
  </si>
  <si>
    <t>Small Rural Hospital Pool:</t>
  </si>
  <si>
    <t>Non-State, Large Public (CPE) Pool:</t>
  </si>
  <si>
    <t>Ownership Type</t>
  </si>
  <si>
    <t>Owner/Operator (Private, State Gov't, Non-State Gov't)</t>
  </si>
  <si>
    <t>DSH Pool Type (Small Rural, CPE, Major Medical, LINCCA)</t>
  </si>
  <si>
    <t>Update if incorrect</t>
  </si>
  <si>
    <t xml:space="preserve">In order to determine eligibility for inclusion as a rural hospital under Act 1485 of the 1997 Louisiana Legislature, Act 1068 and Senate Concurrent </t>
  </si>
  <si>
    <t xml:space="preserve">Resolution 48 of the 1999 Louisiana Legislature, Act 1074 of the 2001 Legislature, Act 35 of the 2002 First Extraordinary Session of the Louisiana </t>
  </si>
  <si>
    <t xml:space="preserve">Legislature, Acts 526 and 1148 of the 2003 Legislature, Act 323 of the 2005 Legislature, Act 389 of the 2008 Legislature, Act 147 of the 2010 </t>
  </si>
  <si>
    <t>Legislature and our approved state plan, the Louisiana Department of Health and Hospitals requests that you provide the following data:</t>
  </si>
  <si>
    <t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</si>
  <si>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and K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</si>
  <si>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DSH Qualification</t>
  </si>
  <si>
    <t>In order for a hospital to be eligible to receive a DSH payment, the hospital must 1) have filed a year end cost report in accordance with Medicare filing guidelines, including extensions; 2) meet the qualification criteria as identified in the "DSH Qualification" tab; 3) have a minimum of 1% Medicaid days utilization percentage; and 4) meet obstetrical services criteria as identified in Section B of the "Sec. A-C DSH Year Data" tab.</t>
  </si>
  <si>
    <t xml:space="preserve">In order to qualify for Disproportionate Share Payments for FFY 2019, we must verify that </t>
  </si>
  <si>
    <t>your facility meets the qualifying criteria for a Non State, Large Public (CPE) Hospital:</t>
  </si>
  <si>
    <t xml:space="preserve">A public, non-rural community hospital is defined as any non-state, non-rural hospital </t>
  </si>
  <si>
    <t xml:space="preserve">(including hospitals with distinct part psychiatric units, long term care hospitals, rehabilitation, </t>
  </si>
  <si>
    <t xml:space="preserve">and free standing psychiatric hospitals) that is owned by a parish, city, or other local government </t>
  </si>
  <si>
    <t xml:space="preserve">agency or instrumentality; and meets the qualifying criteria for disproportionate share hospital </t>
  </si>
  <si>
    <t>High Medicaid:</t>
  </si>
  <si>
    <t>your facility meets the qualifying criteria for a DSH LINCCA Hospital:</t>
  </si>
  <si>
    <t>your facility meets the qualifying criteria for a Major Medical Center:</t>
  </si>
  <si>
    <t>be a private, non-rural hospital located in Department of Health administrative</t>
  </si>
  <si>
    <t>regions 6, 7, or 8</t>
  </si>
  <si>
    <t xml:space="preserve">Worksheet S-3, column 2, lines 1-18, for the state fiscal year ending June 30, 2015. </t>
  </si>
  <si>
    <t xml:space="preserve">For qualification purposes, inpatient beds shall exclude nursery and Medicare </t>
  </si>
  <si>
    <t>designated distinct part psychiatric unit beds,</t>
  </si>
  <si>
    <t>does not qualify as a Louisiana low-income academic hospital, and</t>
  </si>
  <si>
    <t xml:space="preserve">such qualifying hospital (or its affiliate) does have a memorandum of understanding </t>
  </si>
  <si>
    <t xml:space="preserve">executed on or after June 30, 2016, with Louisiana State University – School of </t>
  </si>
  <si>
    <t xml:space="preserve">Medicine, the purpose of which is to maintain and improve access to quality care </t>
  </si>
  <si>
    <t xml:space="preserve">for Medicaid patients in connection with the expansion of Medicaid in the state </t>
  </si>
  <si>
    <t>through the promotion, expansion, and support of graduate medical education and training.</t>
  </si>
  <si>
    <t xml:space="preserve">Facility is a general acute hospital licensed for sixty (60) beds or less and was licensed </t>
  </si>
  <si>
    <t>for sixty or less beds on July 1, 1994 and is located in a parish of less than 50,000 or a</t>
  </si>
  <si>
    <t>municipality of less than 20,000.</t>
  </si>
  <si>
    <t xml:space="preserve">Facility meets the qualifications for a sole community hospital under 42 CFR §412.92(a) or met </t>
  </si>
  <si>
    <t xml:space="preserve">the qualifications of a sole community hospital as of June 30, 2005 and subsequently converts to </t>
  </si>
  <si>
    <t xml:space="preserve">critical access hospital status. Per RS 40:1300.143(7), a hospital that did not downsize to sixty beds </t>
  </si>
  <si>
    <t>by May 16, 2003 and was not designated as rural hospital prior to July 1, 2003 does not qualify</t>
  </si>
  <si>
    <t>under this provision.</t>
  </si>
  <si>
    <t xml:space="preserve">Effective October 1, 1999, facility was licensed for no more than sixty hospital beds as of </t>
  </si>
  <si>
    <t xml:space="preserve">of less than 17,000. </t>
  </si>
  <si>
    <t xml:space="preserve">July 1, 1999, and is located in a parish with a population, as measured by the 1990 census, </t>
  </si>
  <si>
    <t>July 1, 1997, is a publicly owned and operated hospital, and is located in a parish of less</t>
  </si>
  <si>
    <t>than 50,000 or a municipality of less than 20,000.</t>
  </si>
  <si>
    <t xml:space="preserve">Effective August 8, 2001, has no more than sixty hospital beds as of June 30, 2000 and is located </t>
  </si>
  <si>
    <t>in a municipality with a population of less than 20,000 as measured by the 1990 census.</t>
  </si>
  <si>
    <t xml:space="preserve">Effective August 8, 2001, has no more than sixty hospital beds as of July 1, 1997 and is located </t>
  </si>
  <si>
    <t>in a parish with a population of less than 50,000 as measured by the 1990 and 2000 census.</t>
  </si>
  <si>
    <t xml:space="preserve">Effective August 8, 2001, was a facility licensed by the Department that had not more than sixty beds </t>
  </si>
  <si>
    <t>as of July 1, 1994, which hospital facility has been in continuous operation since July 1, 1994, is</t>
  </si>
  <si>
    <t>currently operating under a license issued by the Department, and is located in a parish with a</t>
  </si>
  <si>
    <t xml:space="preserve">population of less than 50,000 as measured by the 1990 census. </t>
  </si>
  <si>
    <t xml:space="preserve">Effective August 5, 2002, has no more than sixty hospital beds or has notified the Department as of </t>
  </si>
  <si>
    <t xml:space="preserve">March 7, 2002 of its intent to reduce its number of hospital beds to no more than sixty and is </t>
  </si>
  <si>
    <t>located, as measured by the 2000 census, in a municipality with a population of less than 13,000</t>
  </si>
  <si>
    <t>and in a parish with a population of less than 32,000.</t>
  </si>
  <si>
    <t xml:space="preserve">Effective September 20, 2003, has no more than sixty hospital beds or has notified the Department </t>
  </si>
  <si>
    <t>as of December 31, 2003 of its intent to reduce its number of hospital beds to no more than sixty</t>
  </si>
  <si>
    <t>and is located, as measured by the 2000 census, in a municipality with a population of less than 7,000,</t>
  </si>
  <si>
    <t>in a parish with a population of less than 53,000, and within ten miles of a United States military base.</t>
  </si>
  <si>
    <t>Effective September 20, 2003, has no more than sixty hospital beds as of September 26, 2002 and is</t>
  </si>
  <si>
    <t>in a parish with a population of less than 33,000.</t>
  </si>
  <si>
    <t xml:space="preserve">located, as measured by the 2000 census, in a municipality with a population of less than 10,000 and </t>
  </si>
  <si>
    <t xml:space="preserve">Effective September 20, 2003, has no more than sixty hospital beds as of January 1, 2003 and is </t>
  </si>
  <si>
    <t>located, as measured by the 2000 census, in a municipality with a population of less than 11,000</t>
  </si>
  <si>
    <t>and in a parish with a population of less than 90,000.</t>
  </si>
  <si>
    <t>Effective August 15, 2005, has no more than forty hospital beds as of January 1, 2005 and is located,</t>
  </si>
  <si>
    <t>parish with a population of less than 15,000.</t>
  </si>
  <si>
    <t xml:space="preserve">as measured by the 2000 census, in a municipality with a population of less than 3,100 and in a </t>
  </si>
  <si>
    <t>Effective September 20, 2012, has no more than sixty hospital beds as of November 1, 2013 and is</t>
  </si>
  <si>
    <t xml:space="preserve">located, as measured by the 2000 census, in a municipality with a population of less than 33,000, </t>
  </si>
  <si>
    <t>in a parish with a population of less than 15,000, and is located within three miles of Jackson Barracks.</t>
  </si>
  <si>
    <t>Facility has a LINCC Agreement on file with the LDH.</t>
  </si>
  <si>
    <t>in 1.D.1 of the Louisiana State Plan.</t>
  </si>
  <si>
    <t xml:space="preserve">Meet the definition of a public non-rural community hospital as defined in 1.D.3.e. of the </t>
  </si>
  <si>
    <t>Louisiana State Plan (below):</t>
  </si>
  <si>
    <t xml:space="preserve">In order to qualify under federal statutory criteria as a hospital serving a disproportionate share of </t>
  </si>
  <si>
    <t xml:space="preserve">indigent patients, specific criteria must be met.  These include certain staffing requirements as well </t>
  </si>
  <si>
    <t xml:space="preserve">as utilization rates for Medicaid days and indigent days.  </t>
  </si>
  <si>
    <t xml:space="preserve">standard deviation of the Medicaid utilization rates for all hospitals in the state receiving payments; </t>
  </si>
  <si>
    <r>
      <rPr>
        <b/>
        <u/>
        <sz val="10"/>
        <rFont val="Arial"/>
        <family val="2"/>
      </rPr>
      <t>Note</t>
    </r>
    <r>
      <rPr>
        <sz val="10"/>
        <rFont val="Arial"/>
        <family val="2"/>
      </rPr>
      <t xml:space="preserve">: Medicaid days include nursery days. If the hospital has a distinct part unit, days for these are </t>
    </r>
  </si>
  <si>
    <t xml:space="preserve">included in the hospital’s total and are not calculated separately.  Total days include only hospital days, not </t>
  </si>
  <si>
    <t xml:space="preserve">"swing bed" (nursing facility) days.  Per clarification received from the Centers for Medicare &amp; Medicaid Services </t>
  </si>
  <si>
    <t xml:space="preserve">(CMS), hospitals may count patient days for which the patient is eligible under a State plan (regardless of the </t>
  </si>
  <si>
    <t xml:space="preserve">with 25% low income utilization revenue per the latest filed cost report period should review their inpatient days </t>
  </si>
  <si>
    <t xml:space="preserve">for eligible Medicaid patients during this period whose stay was not covered by Medicaid to determine if there </t>
  </si>
  <si>
    <t xml:space="preserve">is a sufficient number to qualify for disproportionate share payments. If so, please complete the attached form </t>
  </si>
  <si>
    <t xml:space="preserve">detailing these patients and return to Myers and Stauffer, via the Myers and Stauffer web portal, along with the </t>
  </si>
  <si>
    <t>other required documentation.</t>
  </si>
  <si>
    <t>OR</t>
  </si>
  <si>
    <t xml:space="preserve">net patient care revenues; and inpatient charges related to charity care as a percentage of total inpatient </t>
  </si>
  <si>
    <t>charges) is greater than 25%.</t>
  </si>
  <si>
    <t>Low Income Utilization Rate Formula:</t>
  </si>
  <si>
    <t xml:space="preserve">inpatient and outpatient hospital services).  Medicaid net revenues exclude disproportionate share payments.  </t>
  </si>
  <si>
    <t>Hospital criteria for determining individuals who qualify for "free care" must be approved by the Department.</t>
  </si>
  <si>
    <t>2a.</t>
  </si>
  <si>
    <t xml:space="preserve">In addition to the qualification criteria above, effective July 1, 1994, the qualifying disproportionate share </t>
  </si>
  <si>
    <t xml:space="preserve">hospital must have a Medicaid inpatient utilization rate of at least 1%. </t>
  </si>
  <si>
    <r>
      <rPr>
        <u/>
        <sz val="10"/>
        <rFont val="Arial"/>
        <family val="2"/>
      </rPr>
      <t xml:space="preserve">Low Income Utilization Rate </t>
    </r>
    <r>
      <rPr>
        <sz val="10"/>
        <rFont val="Arial"/>
        <family val="2"/>
      </rPr>
      <t xml:space="preserve">(based on ratios of net Medicaid patient care revenues plus state subsidy to </t>
    </r>
  </si>
  <si>
    <r>
      <rPr>
        <b/>
        <u/>
        <sz val="10"/>
        <rFont val="Arial"/>
        <family val="2"/>
      </rPr>
      <t>Note</t>
    </r>
    <r>
      <rPr>
        <sz val="10"/>
        <rFont val="Arial"/>
        <family val="2"/>
      </rPr>
      <t>: Revenues are defined as "net revenues" (gross revenues less contractual adjustments and discounts for</t>
    </r>
  </si>
  <si>
    <t>A - General DSH Year Information</t>
  </si>
  <si>
    <t>DSH Pool Type</t>
  </si>
  <si>
    <t>OB 1 Name</t>
  </si>
  <si>
    <t>OB 2 Name</t>
  </si>
  <si>
    <r>
      <t>Medicaid Inpatient Utilization Rate</t>
    </r>
    <r>
      <rPr>
        <sz val="10"/>
        <rFont val="Arial"/>
        <family val="2"/>
      </rPr>
      <t xml:space="preserve"> (based on Medicaid days to total days) is greater than the mean plus one </t>
    </r>
  </si>
  <si>
    <t>Medicaid Inpatient Utilization Rate (MIUR) Formula:</t>
  </si>
  <si>
    <r>
      <t xml:space="preserve">Total Hospital Medicaid Eligible Days </t>
    </r>
    <r>
      <rPr>
        <sz val="10"/>
        <rFont val="Calibri"/>
        <family val="2"/>
      </rPr>
      <t>÷</t>
    </r>
    <r>
      <rPr>
        <sz val="10"/>
        <rFont val="Arial"/>
        <family val="2"/>
      </rPr>
      <t xml:space="preserve"> Total Hospital Days = </t>
    </r>
    <r>
      <rPr>
        <b/>
        <u/>
        <sz val="10"/>
        <rFont val="Arial"/>
        <family val="2"/>
      </rPr>
      <t>MIUR</t>
    </r>
  </si>
  <si>
    <r>
      <t xml:space="preserve">(Medicaid Hospital Patient Care Revenues + Hospital Patient Care Local/State Subsidies) </t>
    </r>
    <r>
      <rPr>
        <sz val="10"/>
        <rFont val="Calibri"/>
        <family val="2"/>
      </rPr>
      <t>÷</t>
    </r>
    <r>
      <rPr>
        <sz val="10"/>
        <rFont val="Arial"/>
        <family val="2"/>
      </rPr>
      <t xml:space="preserve"> Total Hospital Patient Care Revenues = </t>
    </r>
    <r>
      <rPr>
        <b/>
        <u/>
        <sz val="10"/>
        <rFont val="Arial"/>
        <family val="2"/>
      </rPr>
      <t>Medicaid Fraction</t>
    </r>
  </si>
  <si>
    <r>
      <t xml:space="preserve">(Free Care Inpatient Hospital Charges - Inpatient Hospital Local/State Subsidies) </t>
    </r>
    <r>
      <rPr>
        <sz val="10"/>
        <rFont val="Calibri"/>
        <family val="2"/>
      </rPr>
      <t>÷</t>
    </r>
    <r>
      <rPr>
        <sz val="10"/>
        <rFont val="Arial"/>
        <family val="2"/>
      </rPr>
      <t xml:space="preserve"> Total Hospital Inpatient Charges = </t>
    </r>
    <r>
      <rPr>
        <b/>
        <u/>
        <sz val="10"/>
        <rFont val="Arial"/>
        <family val="2"/>
      </rPr>
      <t>Charity Care Fraction</t>
    </r>
  </si>
  <si>
    <t>LIUR = Medicaid Fraction + Charity Care Fraction</t>
  </si>
  <si>
    <t>If you selected "Yes" above, you must fill out the days below.  CMS requires that the Department submit the MIUR for each hospital in the state that receives a Medicaid payment.  This information is necessary for the accurate reporting of the MIUR and may affect future federal funding.</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</si>
  <si>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t>
  </si>
  <si>
    <t>High Medicaid Pool Threshold</t>
  </si>
  <si>
    <r>
      <t xml:space="preserve">and have an affirmative reply to </t>
    </r>
    <r>
      <rPr>
        <b/>
        <u/>
        <sz val="12"/>
        <rFont val="Arial"/>
        <family val="2"/>
      </rPr>
      <t>both</t>
    </r>
    <r>
      <rPr>
        <b/>
        <sz val="12"/>
        <rFont val="Arial"/>
        <family val="2"/>
      </rPr>
      <t xml:space="preserve"> items 14-15. </t>
    </r>
  </si>
  <si>
    <t>OB License Number</t>
  </si>
  <si>
    <t>OB Medicaid Number</t>
  </si>
  <si>
    <t>OB 1 License Number</t>
  </si>
  <si>
    <t>OB 2 License Number</t>
  </si>
  <si>
    <t>OB 1 Medicaid Number</t>
  </si>
  <si>
    <t>OB 2 Medicaid Number</t>
  </si>
  <si>
    <t xml:space="preserve">meet the statutory requirement at the 'Sec. A-C DSH Year Data' tab, have an affirmative reply to at least one of items 1 - 13 listed below, </t>
  </si>
  <si>
    <t>Psychiatric Information:</t>
  </si>
  <si>
    <t>Does the hospital have a distinct part psychiatric unit?</t>
  </si>
  <si>
    <t>Is the hospital a freestanding psychiatric hospital?</t>
  </si>
  <si>
    <t xml:space="preserve">If yes, is hospital accredited by the Joint Commission on the Accreditation </t>
  </si>
  <si>
    <t>of Healthcare Organizations?</t>
  </si>
  <si>
    <t>Act 540 Questionnaire</t>
  </si>
  <si>
    <t>Act 540 only providers need only submit the highlighted items.</t>
  </si>
  <si>
    <t>LA ACT 540 Questionnaire</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</si>
  <si>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interim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</si>
  <si>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</si>
  <si>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 xml:space="preserve">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</si>
  <si>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Answer Yes/No</t>
  </si>
  <si>
    <t>Hospital Type</t>
  </si>
  <si>
    <t>Provider Information:</t>
  </si>
  <si>
    <t>1a.</t>
  </si>
  <si>
    <t>Medicaid #</t>
  </si>
  <si>
    <t>1b.</t>
  </si>
  <si>
    <t>Provider Name</t>
  </si>
  <si>
    <t>1c.</t>
  </si>
  <si>
    <t>Medicare #</t>
  </si>
  <si>
    <t>1d.</t>
  </si>
  <si>
    <t>Is this a Municipal hospital?</t>
  </si>
  <si>
    <t>2b.</t>
  </si>
  <si>
    <t>2c.</t>
  </si>
  <si>
    <t>Calculation of Uncompensated Care Cost (UCC):</t>
  </si>
  <si>
    <t>Confirmation:</t>
  </si>
  <si>
    <t>Telephone Number:</t>
  </si>
  <si>
    <t>E-Mail Address:</t>
  </si>
  <si>
    <t>Name:</t>
  </si>
  <si>
    <r>
      <t xml:space="preserve">All the data used here are ONLY for </t>
    </r>
    <r>
      <rPr>
        <b/>
        <u/>
        <sz val="10"/>
        <color indexed="10"/>
        <rFont val="Arial"/>
        <family val="2"/>
      </rPr>
      <t>SFY claims falling within the cost report period.</t>
    </r>
  </si>
  <si>
    <t>All electronic (CD or DVD - CDs or DVDs must be encrypted and/or password protected) and paper documentation can be mailed (using certified or other traceable delivery) to:</t>
  </si>
  <si>
    <t>Description of logic used to compile Exhibit A.  Include a copy of all financial classes and payer plan codes utilized during the cost report period and a description of which codes were included or excluded if applicable.</t>
  </si>
  <si>
    <t>Description of logic used to compile each Exhibit C. Include a copy of all financial classes and payer plan codes utilized during the cost report period and a description of which codes were included or excluded if applicable.</t>
  </si>
  <si>
    <t>Low-Income Needy Care Collaboration (LINCCA) Pool:</t>
  </si>
  <si>
    <t>Major Medical Center (Southwestern):</t>
  </si>
  <si>
    <t>your facility meets the qualifying criteria for a Major Medical Center (Southwestern):</t>
  </si>
  <si>
    <t xml:space="preserve">Effective for dates of service on or after June 30, 2018, hospitals qualifying for payments </t>
  </si>
  <si>
    <t xml:space="preserve">as major medical centers located in the southwestern area of the State shall meet </t>
  </si>
  <si>
    <t>be a private, non-rural hospital located in Louisiana Department of Health administrative</t>
  </si>
  <si>
    <t>region 4</t>
  </si>
  <si>
    <t xml:space="preserve">have at least 175 inpatient beds as reported on the Medicare/Medicaid cost report, </t>
  </si>
  <si>
    <t xml:space="preserve">Worksheet S-3, column 2, lines 1-18, for the state fiscal year ending June 30, 2017. </t>
  </si>
  <si>
    <t>designated distinct part psychiatric unit beds;</t>
  </si>
  <si>
    <t>have a burn intensive care unit that is reported on the Medicare/Medicaid cost report,</t>
  </si>
  <si>
    <t>Worksheet S-3, line 10, columns 1-8, for the state fiscal year ending June 30, 2017;</t>
  </si>
  <si>
    <t>does not qualify as a Louisiana low-income academic hospital; and</t>
  </si>
  <si>
    <t>e.</t>
  </si>
  <si>
    <t xml:space="preserve">does not qualify as a party to a low income and needy care collaboration agreement with </t>
  </si>
  <si>
    <t>the Louisiana Department of Health</t>
  </si>
  <si>
    <t>Major Medical Center (Central &amp; Northern):</t>
  </si>
  <si>
    <t xml:space="preserve">I hereby certify that the information in Sections A, B, C, D, E, F, G, and H, and the DSH Qualification section of the DSH Survey files are true and accurate to the best of our ability, and supported by the financial and other records of the hospital.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</si>
  <si>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Hospitals in Act 540 must complete the attached Act 540 questionnaire and sign the additional certification statement.</t>
  </si>
  <si>
    <t>Sheet2</t>
  </si>
  <si>
    <t>Sheet5</t>
  </si>
  <si>
    <t>Sec. A-C DSH Year Data</t>
  </si>
  <si>
    <t>Sheet1</t>
  </si>
  <si>
    <t>Sec. A-C DSH Year Data ADJ</t>
  </si>
  <si>
    <t>Sheet3</t>
  </si>
  <si>
    <t>Calculation</t>
  </si>
  <si>
    <t>Sheet6</t>
  </si>
  <si>
    <t>C1</t>
  </si>
  <si>
    <t>DQ1</t>
  </si>
  <si>
    <t>DQ2</t>
  </si>
  <si>
    <t>DQ3</t>
  </si>
  <si>
    <t>DQ4</t>
  </si>
  <si>
    <t>DQ5</t>
  </si>
  <si>
    <t>DQ6</t>
  </si>
  <si>
    <t>DQ7</t>
  </si>
  <si>
    <t>DQ8</t>
  </si>
  <si>
    <t>DQ9</t>
  </si>
  <si>
    <t>DQ10</t>
  </si>
  <si>
    <t>DQ11</t>
  </si>
  <si>
    <t>DQ12</t>
  </si>
  <si>
    <t>DQ13</t>
  </si>
  <si>
    <t>DQ14</t>
  </si>
  <si>
    <t>DQ15</t>
  </si>
  <si>
    <t>DQ16</t>
  </si>
  <si>
    <t>DQ17</t>
  </si>
  <si>
    <t>DQ18</t>
  </si>
  <si>
    <t>DQ19</t>
  </si>
  <si>
    <t>DQ20</t>
  </si>
  <si>
    <t>DQ21</t>
  </si>
  <si>
    <t>DQ22</t>
  </si>
  <si>
    <t>DQ23</t>
  </si>
  <si>
    <t>DQ24</t>
  </si>
  <si>
    <t>DQ25</t>
  </si>
  <si>
    <t>DQ26</t>
  </si>
  <si>
    <t>DQ27</t>
  </si>
  <si>
    <t>DQ28</t>
  </si>
  <si>
    <t>DQ29</t>
  </si>
  <si>
    <t>DQ30</t>
  </si>
  <si>
    <t>DQ31</t>
  </si>
  <si>
    <t>DQ32</t>
  </si>
  <si>
    <t>DQ33</t>
  </si>
  <si>
    <t>C2</t>
  </si>
  <si>
    <t>C3</t>
  </si>
  <si>
    <t>C4</t>
  </si>
  <si>
    <t>C5</t>
  </si>
  <si>
    <t>C6</t>
  </si>
  <si>
    <t>C7</t>
  </si>
  <si>
    <t>SAC1</t>
  </si>
  <si>
    <t>SAC2</t>
  </si>
  <si>
    <t>SAC3</t>
  </si>
  <si>
    <t>SAC4</t>
  </si>
  <si>
    <t>SAC5</t>
  </si>
  <si>
    <t>SAC6</t>
  </si>
  <si>
    <t>SAC7</t>
  </si>
  <si>
    <t>SAC8</t>
  </si>
  <si>
    <t>SAC9</t>
  </si>
  <si>
    <t>SAC10</t>
  </si>
  <si>
    <t>SAC11</t>
  </si>
  <si>
    <t>SAC12</t>
  </si>
  <si>
    <t>SAC13</t>
  </si>
  <si>
    <t>SAC14</t>
  </si>
  <si>
    <t>SAC15</t>
  </si>
  <si>
    <t>SAC16</t>
  </si>
  <si>
    <t>SAC17</t>
  </si>
  <si>
    <t>SAC18</t>
  </si>
  <si>
    <t>SAC19</t>
  </si>
  <si>
    <t>SAC20</t>
  </si>
  <si>
    <t>SAC21</t>
  </si>
  <si>
    <t>SAC22</t>
  </si>
  <si>
    <t>SAC23</t>
  </si>
  <si>
    <t>SAC24</t>
  </si>
  <si>
    <t>SAC25</t>
  </si>
  <si>
    <t>SAC26</t>
  </si>
  <si>
    <t>SAC27</t>
  </si>
  <si>
    <t>SAC28</t>
  </si>
  <si>
    <t>SAC29</t>
  </si>
  <si>
    <t>SAC30</t>
  </si>
  <si>
    <t>SAC31</t>
  </si>
  <si>
    <t>SAC32</t>
  </si>
  <si>
    <t>SAC33</t>
  </si>
  <si>
    <t>SAC34</t>
  </si>
  <si>
    <t>SAC35</t>
  </si>
  <si>
    <t>SAC36</t>
  </si>
  <si>
    <t>ASAC1</t>
  </si>
  <si>
    <t>ASAC2</t>
  </si>
  <si>
    <t>ASAC3</t>
  </si>
  <si>
    <t>ASAC4</t>
  </si>
  <si>
    <t>ASAC5</t>
  </si>
  <si>
    <t>ASAC6</t>
  </si>
  <si>
    <t>ASAC7</t>
  </si>
  <si>
    <t>ASAC8</t>
  </si>
  <si>
    <t>ASAC9</t>
  </si>
  <si>
    <t>ASAC10</t>
  </si>
  <si>
    <t>ASAC11</t>
  </si>
  <si>
    <t>ASAC12</t>
  </si>
  <si>
    <t>ASAC13</t>
  </si>
  <si>
    <t>ASAC14</t>
  </si>
  <si>
    <t>ASAC15</t>
  </si>
  <si>
    <t>ASAC16</t>
  </si>
  <si>
    <t>ASAC17</t>
  </si>
  <si>
    <t>ASAC18</t>
  </si>
  <si>
    <t>ASAC19</t>
  </si>
  <si>
    <t>ASAC20</t>
  </si>
  <si>
    <t>ASAC21</t>
  </si>
  <si>
    <t>ASAC22</t>
  </si>
  <si>
    <t>ASAC23</t>
  </si>
  <si>
    <t>ASAC24</t>
  </si>
  <si>
    <t>ASAC25</t>
  </si>
  <si>
    <t>ASAC26</t>
  </si>
  <si>
    <t>ASAC27</t>
  </si>
  <si>
    <t>ASAC28</t>
  </si>
  <si>
    <t>ASAC29</t>
  </si>
  <si>
    <t>ASAC30</t>
  </si>
  <si>
    <t>ASAC31</t>
  </si>
  <si>
    <t>ASAC32</t>
  </si>
  <si>
    <t>ASAC33</t>
  </si>
  <si>
    <t>ASAC34</t>
  </si>
  <si>
    <t>ASAC35</t>
  </si>
  <si>
    <t>ASAC36</t>
  </si>
  <si>
    <t>Calc1</t>
  </si>
  <si>
    <t>Calc2</t>
  </si>
  <si>
    <t>Calc3</t>
  </si>
  <si>
    <t>Calc4</t>
  </si>
  <si>
    <t>Calc5</t>
  </si>
  <si>
    <t>Calc6</t>
  </si>
  <si>
    <t>Calc7</t>
  </si>
  <si>
    <t>Calc8</t>
  </si>
  <si>
    <t>Calc9</t>
  </si>
  <si>
    <t>Calc10</t>
  </si>
  <si>
    <t>Calc11</t>
  </si>
  <si>
    <t>Calc12</t>
  </si>
  <si>
    <t>Calc15</t>
  </si>
  <si>
    <t>Calc16</t>
  </si>
  <si>
    <t>Calc17</t>
  </si>
  <si>
    <t>Calc18</t>
  </si>
  <si>
    <t>Calc19</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</si>
  <si>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</si>
  <si>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</si>
  <si>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</si>
  <si>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</si>
  <si>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</si>
  <si>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</si>
  <si>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</si>
  <si>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</si>
  <si>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</si>
  <si>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</si>
  <si>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</si>
  <si>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</si>
  <si>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</si>
  <si>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</si>
  <si>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</si>
  <si>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</si>
  <si>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</si>
  <si>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</si>
  <si>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</si>
  <si>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</si>
  <si>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</si>
  <si>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</si>
  <si>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</si>
  <si>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</si>
  <si>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</si>
  <si>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</si>
  <si>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</si>
  <si>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</si>
  <si>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</si>
  <si>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</si>
  <si>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</si>
  <si>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</si>
  <si>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</si>
  <si>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</si>
  <si>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</si>
  <si>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</si>
  <si>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</si>
  <si>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</si>
  <si>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</si>
  <si>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</si>
  <si>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</si>
  <si>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</si>
  <si>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</si>
  <si>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</si>
  <si>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</si>
  <si>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</si>
  <si>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</si>
  <si>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</si>
  <si>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</si>
  <si>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</si>
  <si>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</si>
  <si>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</si>
  <si>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</si>
  <si>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</si>
  <si>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</si>
  <si>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</si>
  <si>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</si>
  <si>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</si>
  <si>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</si>
  <si>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</si>
  <si>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</si>
  <si>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</si>
  <si>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</si>
  <si>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</si>
  <si>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</si>
  <si>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</si>
  <si>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</si>
  <si>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</si>
  <si>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</si>
  <si>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</si>
  <si>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</si>
  <si>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</si>
  <si>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</si>
  <si>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</si>
  <si>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</si>
  <si>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</si>
  <si>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</si>
  <si>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</si>
  <si>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</si>
  <si>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</si>
  <si>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</si>
  <si>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</si>
  <si>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</si>
  <si>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S</t>
  </si>
  <si>
    <t>_S000001</t>
  </si>
  <si>
    <t>Sec 1 DSH Qualification</t>
  </si>
  <si>
    <t>R</t>
  </si>
  <si>
    <t>_R000002</t>
  </si>
  <si>
    <t>C</t>
  </si>
  <si>
    <t>_C000003</t>
  </si>
  <si>
    <t>D</t>
  </si>
  <si>
    <t>SMR_Qualification1</t>
  </si>
  <si>
    <t>SMR_Qualification2</t>
  </si>
  <si>
    <t>SMR_Qualification3</t>
  </si>
  <si>
    <t>SMR_Qualification4</t>
  </si>
  <si>
    <t>SMR_Qualification5</t>
  </si>
  <si>
    <t>SMR_Qualification6</t>
  </si>
  <si>
    <t>SMR_Qualification7</t>
  </si>
  <si>
    <t>SMR_Qualification8</t>
  </si>
  <si>
    <t>SMR_Qualification9</t>
  </si>
  <si>
    <t>SMR_Qualification10</t>
  </si>
  <si>
    <t>SMR_Qualification11</t>
  </si>
  <si>
    <t>SMR_Qualification12</t>
  </si>
  <si>
    <t>SMR_Qualification13</t>
  </si>
  <si>
    <t>SMR_Qualification14</t>
  </si>
  <si>
    <t>SMR_Qualification15</t>
  </si>
  <si>
    <t>Small Rural Hosp Pool 1.</t>
  </si>
  <si>
    <t>Small Rural Hosp Pool 2.</t>
  </si>
  <si>
    <t>Small Rural Hosp Pool 3.</t>
  </si>
  <si>
    <t>Small Rural Hosp Pool 4.</t>
  </si>
  <si>
    <t>Small Rural Hosp Pool 5.</t>
  </si>
  <si>
    <t>Small Rural Hosp Pool 6.</t>
  </si>
  <si>
    <t>Small Rural Hosp Pool 7.</t>
  </si>
  <si>
    <t>Small Rural Hosp Pool 8.</t>
  </si>
  <si>
    <t>Small Rural Hosp Pool 9.</t>
  </si>
  <si>
    <t>Small Rural Hosp Pool 10.</t>
  </si>
  <si>
    <t>Small Rural Hosp Pool 11.</t>
  </si>
  <si>
    <t>Small Rural Hosp Pool 12.</t>
  </si>
  <si>
    <t>Small Rural Hosp Pool 13.</t>
  </si>
  <si>
    <t>Small Rural Hosp Pool 14.</t>
  </si>
  <si>
    <t>Small Rural Hosp Pool 15.</t>
  </si>
  <si>
    <t>CPE_Qualification1</t>
  </si>
  <si>
    <t>Non-State, Large Public CPE Pool 1</t>
  </si>
  <si>
    <t>LINCCA_Qualification1</t>
  </si>
  <si>
    <t>Low-Income Needy Care Collaboration Pool 1.</t>
  </si>
  <si>
    <t>LINCCA_Qualification2</t>
  </si>
  <si>
    <t>Low-Income Needy Care Collaboration Pool 2.</t>
  </si>
  <si>
    <t>MMC_Qualification1</t>
  </si>
  <si>
    <t>Major Medical Center (Central &amp; Northern) 1a.</t>
  </si>
  <si>
    <t>MMC_Qualification2</t>
  </si>
  <si>
    <t>Major Medical Center (Central &amp; Northern) 1b.</t>
  </si>
  <si>
    <t>MMC_Qualification3</t>
  </si>
  <si>
    <t>Major Medical Center (Central &amp; Northern) 1c.</t>
  </si>
  <si>
    <t>MMC_Qualification4</t>
  </si>
  <si>
    <t>Major Medical Center (Central &amp; Northern) 1d.</t>
  </si>
  <si>
    <t>_D000026</t>
  </si>
  <si>
    <t>Major Medical Center (Southwestern) 1a.</t>
  </si>
  <si>
    <t>_D000027</t>
  </si>
  <si>
    <t>Major Medical Center (Southwestern) 1b.</t>
  </si>
  <si>
    <t>_D000028</t>
  </si>
  <si>
    <t>Major Medical Center (Southwestern) 1c.</t>
  </si>
  <si>
    <t>_D000029</t>
  </si>
  <si>
    <t>Major Medical Center (Southwestern) 1d.</t>
  </si>
  <si>
    <t>_D000030</t>
  </si>
  <si>
    <t>Major Medical Center (Southwestern) 1e.</t>
  </si>
  <si>
    <t>HighXIX_Qualification1</t>
  </si>
  <si>
    <t>High Medicaid 1.</t>
  </si>
  <si>
    <t>HighXIX_Qualification2</t>
  </si>
  <si>
    <t>High Medicaid 2.</t>
  </si>
  <si>
    <t>HighXIX_Qualification3</t>
  </si>
  <si>
    <t>High Medicaid 2a.</t>
  </si>
  <si>
    <t>Act_540_DPP</t>
  </si>
  <si>
    <t>LA ACT 540 Questionnaire 1.</t>
  </si>
  <si>
    <t>Act_540_FSP</t>
  </si>
  <si>
    <t>LA ACT 540 Questionnaire 2.</t>
  </si>
  <si>
    <t>Act_540_Accreditation</t>
  </si>
  <si>
    <t>LA ACT 540 Questionnaire 3.</t>
  </si>
  <si>
    <t>SAC37</t>
  </si>
  <si>
    <t>_S000037</t>
  </si>
  <si>
    <t>AA</t>
  </si>
  <si>
    <t>Sec. A-C DSH Year Data Gen DSH Y</t>
  </si>
  <si>
    <t>_R000038</t>
  </si>
  <si>
    <t>_C000039</t>
  </si>
  <si>
    <t>_C000040</t>
  </si>
  <si>
    <t>_C000041</t>
  </si>
  <si>
    <t>_C000042</t>
  </si>
  <si>
    <t>_C000043</t>
  </si>
  <si>
    <t>_C000044</t>
  </si>
  <si>
    <t>_C000045</t>
  </si>
  <si>
    <t>_S000046</t>
  </si>
  <si>
    <t>AB</t>
  </si>
  <si>
    <t>Sec. A-C DSH Year Data DSH OB Qf</t>
  </si>
  <si>
    <t>_R000047</t>
  </si>
  <si>
    <t>_C000048</t>
  </si>
  <si>
    <t>_C000049</t>
  </si>
  <si>
    <t>_C000050</t>
  </si>
  <si>
    <t>_C000051</t>
  </si>
  <si>
    <t>_S000052</t>
  </si>
  <si>
    <t>AC</t>
  </si>
  <si>
    <t xml:space="preserve">Sec. A-C DSH Year Data Disc Oth </t>
  </si>
  <si>
    <t>_R000053</t>
  </si>
  <si>
    <t>_C000054</t>
  </si>
  <si>
    <t>_C000055</t>
  </si>
  <si>
    <t>_C000056</t>
  </si>
  <si>
    <t>_C000057</t>
  </si>
  <si>
    <t>_C000058</t>
  </si>
  <si>
    <t>_C000059</t>
  </si>
  <si>
    <t>_C000060</t>
  </si>
  <si>
    <t>Version</t>
  </si>
  <si>
    <t>Value</t>
  </si>
  <si>
    <t>DSH_Year_Begin</t>
  </si>
  <si>
    <t>DSH Year:  Begin</t>
  </si>
  <si>
    <t>DSH_Year_End</t>
  </si>
  <si>
    <t>DSH Year:  End</t>
  </si>
  <si>
    <t>HOSPITALNAME</t>
  </si>
  <si>
    <t>FYB_1</t>
  </si>
  <si>
    <t>3. Cost Report Year 1</t>
  </si>
  <si>
    <t>Cost Report Begin Dates</t>
  </si>
  <si>
    <t>FYB_2</t>
  </si>
  <si>
    <t>FYB_3</t>
  </si>
  <si>
    <t>5. Cost Report Year 3</t>
  </si>
  <si>
    <t>FYE_1</t>
  </si>
  <si>
    <t>Cost Report End Dates</t>
  </si>
  <si>
    <t>FYE_2</t>
  </si>
  <si>
    <t>FYE_3</t>
  </si>
  <si>
    <t>4. Cost Report Year 2</t>
  </si>
  <si>
    <t>McaidNum</t>
  </si>
  <si>
    <t>SubNum1</t>
  </si>
  <si>
    <t>SubNum2</t>
  </si>
  <si>
    <t>McareNum</t>
  </si>
  <si>
    <t>OwnerType</t>
  </si>
  <si>
    <t>DSHPool</t>
  </si>
  <si>
    <t>OBYes</t>
  </si>
  <si>
    <t>OBExempt1Yes</t>
  </si>
  <si>
    <t>OBExempt2Yes</t>
  </si>
  <si>
    <t>OpenAsOf_Exam</t>
  </si>
  <si>
    <t>OpenDate_Exam</t>
  </si>
  <si>
    <t>OBYes_Payment</t>
  </si>
  <si>
    <t>OBName1</t>
  </si>
  <si>
    <t>OBName2</t>
  </si>
  <si>
    <t>LA_OBName1</t>
  </si>
  <si>
    <t>LA_OBName2</t>
  </si>
  <si>
    <t>OBLicense_1</t>
  </si>
  <si>
    <t>OBLicense_2</t>
  </si>
  <si>
    <t>OBExempt1Yes_Payment</t>
  </si>
  <si>
    <t xml:space="preserve">5. Is the hospital exempt from the requirement listed </t>
  </si>
  <si>
    <t>OBExempt2Yes_Payment</t>
  </si>
  <si>
    <t xml:space="preserve">6. Is the hospital exempt from the requirement listed </t>
  </si>
  <si>
    <t>OBMedicaid_1</t>
  </si>
  <si>
    <t>OBMedicaid_2</t>
  </si>
  <si>
    <t>6. Medicaid Provider Number:</t>
  </si>
  <si>
    <t>7. Medicaid Subprovider Number 1 (Psychiatric or Rehab):</t>
  </si>
  <si>
    <t>8. Medicaid Subprovider Number 2 (Psychiatric or Rehab):</t>
  </si>
  <si>
    <t>9. Medicare Provider Number:</t>
  </si>
  <si>
    <t>10. Owner/Operator (Private, State Gov't, Non-State Gov't)</t>
  </si>
  <si>
    <t>11. DSH Pool Type (Small Rural, CPE, Major Medical, LINCCA)</t>
  </si>
  <si>
    <t>2. Select Your Facility from the Drop-Down Menu</t>
  </si>
  <si>
    <t>1. Did the hospital have at least two obstetricians who had staff privileges at the hospital that agreed to</t>
  </si>
  <si>
    <t xml:space="preserve">2. Was the hospital exempt from the requirement listed under #1 above because the hospital's </t>
  </si>
  <si>
    <t>3. Was the hospital exempt from the requirement listed under #1 above because it did not offer non-</t>
  </si>
  <si>
    <t>3a. Was the hospital open as of December 22, 1987?</t>
  </si>
  <si>
    <t>3b. What date did the hospital open?</t>
  </si>
  <si>
    <t>4. Does the hospital have at least two obstetricians who have staff privileges at the hospital who have agreed to</t>
  </si>
  <si>
    <t>UPL_Payments</t>
  </si>
  <si>
    <t>RetainDSHYes</t>
  </si>
  <si>
    <t>1. Was your hospital allowed to retain 100% of the DSH payment it received for this DSH year?</t>
  </si>
  <si>
    <t>_D000095</t>
  </si>
  <si>
    <t>Row 1 Explanation</t>
  </si>
  <si>
    <t>_D000096</t>
  </si>
  <si>
    <t>Row 2 Explanation</t>
  </si>
  <si>
    <t>_D000097</t>
  </si>
  <si>
    <t>Row 3 Explanation</t>
  </si>
  <si>
    <t>Signature</t>
  </si>
  <si>
    <t>Signature_Printed_Name</t>
  </si>
  <si>
    <t>Signature_Title</t>
  </si>
  <si>
    <t>Signature_Telephone</t>
  </si>
  <si>
    <t>Signature_Date</t>
  </si>
  <si>
    <t>Signature_EMail</t>
  </si>
  <si>
    <t>Contact_Name</t>
  </si>
  <si>
    <t>Contact_Title</t>
  </si>
  <si>
    <t>Contact_Phone</t>
  </si>
  <si>
    <t>Contact_Email</t>
  </si>
  <si>
    <t>Contact_StreetAddress</t>
  </si>
  <si>
    <t>Contact_CityStateZip</t>
  </si>
  <si>
    <t>Preparer_Name</t>
  </si>
  <si>
    <t>Preparer_Title</t>
  </si>
  <si>
    <t>Preparer_Firm</t>
  </si>
  <si>
    <t>Preparer_Phone</t>
  </si>
  <si>
    <t>Preparer_Email</t>
  </si>
  <si>
    <t>_S000115</t>
  </si>
  <si>
    <t>AAA</t>
  </si>
  <si>
    <t>ADJ Sec. A-C General DSH Year In</t>
  </si>
  <si>
    <t>_R000116</t>
  </si>
  <si>
    <t>_C000117</t>
  </si>
  <si>
    <t>_C000118</t>
  </si>
  <si>
    <t>_C000119</t>
  </si>
  <si>
    <t>_C000120</t>
  </si>
  <si>
    <t>_C000121</t>
  </si>
  <si>
    <t>_C000122</t>
  </si>
  <si>
    <t>_S000123</t>
  </si>
  <si>
    <t>AAB</t>
  </si>
  <si>
    <t>ADJ Sec. A-C DSH OB QLF Info</t>
  </si>
  <si>
    <t>_R000124</t>
  </si>
  <si>
    <t>_C000125</t>
  </si>
  <si>
    <t>_C000126</t>
  </si>
  <si>
    <t>_C000127</t>
  </si>
  <si>
    <t>_C000128</t>
  </si>
  <si>
    <t>_S000129</t>
  </si>
  <si>
    <t>AAC</t>
  </si>
  <si>
    <t>ADJ Sec. A-C Disc of Supp Medi</t>
  </si>
  <si>
    <t>_R000130</t>
  </si>
  <si>
    <t>_C000131</t>
  </si>
  <si>
    <t>_C000132</t>
  </si>
  <si>
    <t>_C000133</t>
  </si>
  <si>
    <t>_C000134</t>
  </si>
  <si>
    <t>_C000135</t>
  </si>
  <si>
    <t>_C000136</t>
  </si>
  <si>
    <t>_C000137</t>
  </si>
  <si>
    <t>Version_ADJ</t>
  </si>
  <si>
    <t>DSH_Year_Begin_ADJ</t>
  </si>
  <si>
    <t>DSH_Year_End_ADJ</t>
  </si>
  <si>
    <t>HOSPITALNAME_ADJ</t>
  </si>
  <si>
    <t>2. Select Your Facility from the Drop-Down Menu Provided:</t>
  </si>
  <si>
    <t>FYB_1_ADJ</t>
  </si>
  <si>
    <t>FYB_2_ADJ</t>
  </si>
  <si>
    <t>4. Cost Report Year 2 (if applicable)</t>
  </si>
  <si>
    <t>FYB_3_ADJ</t>
  </si>
  <si>
    <t>5. Cost Report Year 3 (if applicable)</t>
  </si>
  <si>
    <t>FYE_1_ADJ</t>
  </si>
  <si>
    <t>FYE_2_ADJ</t>
  </si>
  <si>
    <t>FYE_3_ADJ</t>
  </si>
  <si>
    <t>McaidNum_ADJ</t>
  </si>
  <si>
    <t>SubNum1_ADJ</t>
  </si>
  <si>
    <t>SubNum2_ADJ</t>
  </si>
  <si>
    <t>McareNum_ADJ</t>
  </si>
  <si>
    <t>OwnerType_ADJ</t>
  </si>
  <si>
    <t>DSHPool_ADJ</t>
  </si>
  <si>
    <t>OBYes_ADJ</t>
  </si>
  <si>
    <t>OBExempt1Yes_ADJ</t>
  </si>
  <si>
    <t>OBExempt2Yes_ADJ</t>
  </si>
  <si>
    <t>OpenAsOf_Exam_ADJ</t>
  </si>
  <si>
    <t>OpenDate_Exam_ADJ</t>
  </si>
  <si>
    <t>OBYes_Payment_ADJ</t>
  </si>
  <si>
    <t>OBName1_ADJ</t>
  </si>
  <si>
    <t>OBName2_ADJ</t>
  </si>
  <si>
    <t>LA_OBName1_ADJ</t>
  </si>
  <si>
    <t>LA_OBName2_ADJ</t>
  </si>
  <si>
    <t>OBExempt1Yes_Payment_ADJ</t>
  </si>
  <si>
    <t xml:space="preserve">5. Is the hospital exempt from the requirement listed under #1 above because the hospital's </t>
  </si>
  <si>
    <t>OBExempt2Yes_Payment_ADJ</t>
  </si>
  <si>
    <t>6. Is the hospital exempt from the requirement listed under #1 above because it did not offer non-</t>
  </si>
  <si>
    <t>OBLicense_1_ADJ</t>
  </si>
  <si>
    <t>OBLicense_2_ADJ</t>
  </si>
  <si>
    <t>OBMedicaid_1_ADJ</t>
  </si>
  <si>
    <t>OBMedicaid_2_ADJ</t>
  </si>
  <si>
    <t>UPL_Payments_ADJ</t>
  </si>
  <si>
    <t>RetainDSHYes_ADJ</t>
  </si>
  <si>
    <t>_D000172</t>
  </si>
  <si>
    <t>_D000173</t>
  </si>
  <si>
    <t>_D000174</t>
  </si>
  <si>
    <t>Signature_ADJ</t>
  </si>
  <si>
    <t>Signature_Printed_Name_ADJ</t>
  </si>
  <si>
    <t>Signature_Title_ADJ</t>
  </si>
  <si>
    <t>Signature_Telephone_ADJ</t>
  </si>
  <si>
    <t>Signature_Date_ADJ</t>
  </si>
  <si>
    <t>Signature_EMail_ADJ</t>
  </si>
  <si>
    <t>Contact_Name_ADJ</t>
  </si>
  <si>
    <t>Contact_Title_ADJ</t>
  </si>
  <si>
    <t>Contact_Phone_ADJ</t>
  </si>
  <si>
    <t>Contact_Email_ADJ</t>
  </si>
  <si>
    <t>Contact_StreetAddress_ADJ</t>
  </si>
  <si>
    <t>ASAC37</t>
  </si>
  <si>
    <t>Contact_CityStateZip_ADJ</t>
  </si>
  <si>
    <t>Preparer_Name_ADJ</t>
  </si>
  <si>
    <t>Preparer_Title_ADJ</t>
  </si>
  <si>
    <t>Preparer_Firm_ADJ</t>
  </si>
  <si>
    <t>Preparer_Phone_ADJ</t>
  </si>
  <si>
    <t>Preparer_Email_ADJ</t>
  </si>
  <si>
    <t>_D000210</t>
  </si>
  <si>
    <t>9. Trended UCC (after all payments) for Municipal</t>
  </si>
  <si>
    <t>_D000211</t>
  </si>
  <si>
    <t>10. SFY 2016 DSH Payments</t>
  </si>
  <si>
    <t>DWMD1</t>
  </si>
  <si>
    <t>DWMD2</t>
  </si>
  <si>
    <t>DWMD3</t>
  </si>
  <si>
    <t>DWMD4</t>
  </si>
  <si>
    <t>DWMD5</t>
  </si>
  <si>
    <t>DWMD6</t>
  </si>
  <si>
    <t>DWMD7</t>
  </si>
  <si>
    <t>DWMD8</t>
  </si>
  <si>
    <t>DWMD9</t>
  </si>
  <si>
    <t>DWMD10</t>
  </si>
  <si>
    <t>DWMD11</t>
  </si>
  <si>
    <t>DWMD12</t>
  </si>
  <si>
    <t>DWMD13</t>
  </si>
  <si>
    <t>DWMD14</t>
  </si>
  <si>
    <t>DWMD15</t>
  </si>
  <si>
    <t>DWMD16</t>
  </si>
  <si>
    <t>DWMD17</t>
  </si>
  <si>
    <t>DWMD18</t>
  </si>
  <si>
    <t>DWMD19</t>
  </si>
  <si>
    <t>DWMD20</t>
  </si>
  <si>
    <t>DWMD21</t>
  </si>
  <si>
    <t>DWMD22</t>
  </si>
  <si>
    <t>DWMD23</t>
  </si>
  <si>
    <t>_S000225</t>
  </si>
  <si>
    <t>DWM</t>
  </si>
  <si>
    <t>Sec. DSH Waiver &amp; MIUR Data</t>
  </si>
  <si>
    <t>_R000226</t>
  </si>
  <si>
    <t>_C000227</t>
  </si>
  <si>
    <t>_C000228</t>
  </si>
  <si>
    <t>_C000229</t>
  </si>
  <si>
    <t>_C000230</t>
  </si>
  <si>
    <t>_C000231</t>
  </si>
  <si>
    <t>_C000232</t>
  </si>
  <si>
    <t>_C000233</t>
  </si>
  <si>
    <t>DSH_Payment_Year_Begin</t>
  </si>
  <si>
    <t>4. DSH Payment Year From:</t>
  </si>
  <si>
    <t>DSH_Payment_Year_End</t>
  </si>
  <si>
    <t>4. DSH Payment Year To:</t>
  </si>
  <si>
    <t>Waiver_Response</t>
  </si>
  <si>
    <t>Paid_MCD_FFS_Days</t>
  </si>
  <si>
    <t xml:space="preserve">6. Missouri Total Paid Medicaid FFS Days </t>
  </si>
  <si>
    <t>Paid_MCD_MCO_Days</t>
  </si>
  <si>
    <t xml:space="preserve">7. Missouri Total Paid Medicaid Managed Care Days </t>
  </si>
  <si>
    <t>Paid_FFS_Xover_Days</t>
  </si>
  <si>
    <t xml:space="preserve">8. Missouri Total Paid Medicaid FFS Crossover Days </t>
  </si>
  <si>
    <t>OME_Days</t>
  </si>
  <si>
    <t>9. Missouri Other Medicaid Eligible Days (No Medicaid Payment)</t>
  </si>
  <si>
    <t>Paid_OOS_MCD_Days</t>
  </si>
  <si>
    <t>10. Out-of-State Paid Medicaid Days  (Include FFS, Medicaid Managed Care, FFS Crossover, and Other Eligible)</t>
  </si>
  <si>
    <t>TotHospDaysperCR</t>
  </si>
  <si>
    <t>11. Total Hospital Days Per Cost Report Excluding Swing-Bed (C/R, W/S S-3, Pt. I, Col. 8, Sum of Lns. 14, 16, 17, 18.xx less lines 5 &amp; 6)</t>
  </si>
  <si>
    <t>MCDHospDaysperCR</t>
  </si>
  <si>
    <t>12. Total Medicaid Hospital Days Per Cost Report Excluding Swing Bed (W/S S-3, Pt. I, Col. 7, Sum of Lns. 2-4, 14, 16, 17, 18.xx less lines 5 &amp; 6)</t>
  </si>
  <si>
    <t>UnreconciledDays</t>
  </si>
  <si>
    <t>13. Unreconciled Medicaid Hospital Days (Primary Medicaid Days including Out-of-State less Cost Report Total) (please include explanation on Variance tab)</t>
  </si>
  <si>
    <t>MedicaidEligDays</t>
  </si>
  <si>
    <t>14. Total Medicaid Eligible Days</t>
  </si>
  <si>
    <t>TotHospDays</t>
  </si>
  <si>
    <t>15. Total Hospital Days (excludes swing-bed)</t>
  </si>
  <si>
    <t>DSHWaiverMIUR</t>
  </si>
  <si>
    <t>16. MIUR</t>
  </si>
  <si>
    <t>OBYes_Waiver</t>
  </si>
  <si>
    <t>17. Does the hospital have at least two obstetricians who have staff privileges at the hospital who have agreed to</t>
  </si>
  <si>
    <t>Waiver_OB_1</t>
  </si>
  <si>
    <t>Obstetrician 1</t>
  </si>
  <si>
    <t>Waiver_OB_2</t>
  </si>
  <si>
    <t>Obstetrician 2</t>
  </si>
  <si>
    <t>OBExempt1Yes_Waiver</t>
  </si>
  <si>
    <t xml:space="preserve">18. Is the hospital exempt from the requirement listed under #1 above because the hospital's </t>
  </si>
  <si>
    <t>OBExempt2Yes_Waiver</t>
  </si>
  <si>
    <t xml:space="preserve">19. Is the hospital exempt from the requirement listed under #1 above because the hospital's </t>
  </si>
  <si>
    <t>OpenAsOf_Waiver</t>
  </si>
  <si>
    <t>19a. Was the hospital open as of December 22, 1987?</t>
  </si>
  <si>
    <t>OpenDate_Waiver</t>
  </si>
  <si>
    <t>19b. What date did the hospital open?</t>
  </si>
  <si>
    <t>WaiverSignature</t>
  </si>
  <si>
    <t>WaiverPrintedName</t>
  </si>
  <si>
    <t>WaiverTitle</t>
  </si>
  <si>
    <t>WaiverDate</t>
  </si>
  <si>
    <t>A1:T215</t>
  </si>
  <si>
    <t>A2:T215</t>
  </si>
  <si>
    <t>L2:L215</t>
  </si>
  <si>
    <t>L22</t>
  </si>
  <si>
    <t>L26</t>
  </si>
  <si>
    <t>L32</t>
  </si>
  <si>
    <t>L36</t>
  </si>
  <si>
    <t>L40</t>
  </si>
  <si>
    <t>L43</t>
  </si>
  <si>
    <t>L46</t>
  </si>
  <si>
    <t>L51</t>
  </si>
  <si>
    <t>L56</t>
  </si>
  <si>
    <t>L61</t>
  </si>
  <si>
    <t>L65</t>
  </si>
  <si>
    <t>L69</t>
  </si>
  <si>
    <t>L73</t>
  </si>
  <si>
    <t>L77</t>
  </si>
  <si>
    <t>L79</t>
  </si>
  <si>
    <t>L87</t>
  </si>
  <si>
    <t>L102</t>
  </si>
  <si>
    <t>L105</t>
  </si>
  <si>
    <t>L117</t>
  </si>
  <si>
    <t>L120</t>
  </si>
  <si>
    <t>L125</t>
  </si>
  <si>
    <t>L127</t>
  </si>
  <si>
    <t>L143</t>
  </si>
  <si>
    <t>L146</t>
  </si>
  <si>
    <t>L151</t>
  </si>
  <si>
    <t>L154</t>
  </si>
  <si>
    <t>L156</t>
  </si>
  <si>
    <t>L166</t>
  </si>
  <si>
    <t>L187</t>
  </si>
  <si>
    <t>L203</t>
  </si>
  <si>
    <t>L211</t>
  </si>
  <si>
    <t>L213</t>
  </si>
  <si>
    <t>L215</t>
  </si>
  <si>
    <t>A1:Q28</t>
  </si>
  <si>
    <t>A2:Q28</t>
  </si>
  <si>
    <t>C2:C6</t>
  </si>
  <si>
    <t>E2:E6</t>
  </si>
  <si>
    <t>K2:K3</t>
  </si>
  <si>
    <t>C8:G9</t>
  </si>
  <si>
    <t>C12:C18</t>
  </si>
  <si>
    <t>E12:E18</t>
  </si>
  <si>
    <t>E21:E28</t>
  </si>
  <si>
    <t>A30:Q69</t>
  </si>
  <si>
    <t>A31:Q69</t>
  </si>
  <si>
    <t>I31:I51</t>
  </si>
  <si>
    <t>B56:E69</t>
  </si>
  <si>
    <t>G56:G69</t>
  </si>
  <si>
    <t>I56:I69</t>
  </si>
  <si>
    <t>A72:Q117</t>
  </si>
  <si>
    <t>A73:Q117</t>
  </si>
  <si>
    <t>I73:I87</t>
  </si>
  <si>
    <t>B92:N96</t>
  </si>
  <si>
    <t>B101:B105</t>
  </si>
  <si>
    <t>E101:G105</t>
  </si>
  <si>
    <t>K101:M105</t>
  </si>
  <si>
    <t>C110:F117</t>
  </si>
  <si>
    <t>J110:M116</t>
  </si>
  <si>
    <t>K3</t>
  </si>
  <si>
    <t>E6</t>
  </si>
  <si>
    <t>C9</t>
  </si>
  <si>
    <t>C16</t>
  </si>
  <si>
    <t>C17</t>
  </si>
  <si>
    <t>C18</t>
  </si>
  <si>
    <t>E16</t>
  </si>
  <si>
    <t>E17</t>
  </si>
  <si>
    <t>E18</t>
  </si>
  <si>
    <t>E23</t>
  </si>
  <si>
    <t>E24</t>
  </si>
  <si>
    <t>E25</t>
  </si>
  <si>
    <t>E26</t>
  </si>
  <si>
    <t>E27</t>
  </si>
  <si>
    <t>E28</t>
  </si>
  <si>
    <t>I35</t>
  </si>
  <si>
    <t>I39</t>
  </si>
  <si>
    <t>I41</t>
  </si>
  <si>
    <t>I45</t>
  </si>
  <si>
    <t>I51</t>
  </si>
  <si>
    <t>B58</t>
  </si>
  <si>
    <t>B59</t>
  </si>
  <si>
    <t>B68</t>
  </si>
  <si>
    <t>B69</t>
  </si>
  <si>
    <t>G68</t>
  </si>
  <si>
    <t>G69</t>
  </si>
  <si>
    <t>I61</t>
  </si>
  <si>
    <t>I63</t>
  </si>
  <si>
    <t>I68</t>
  </si>
  <si>
    <t>I69</t>
  </si>
  <si>
    <t>I87</t>
  </si>
  <si>
    <t>B94</t>
  </si>
  <si>
    <t>B95</t>
  </si>
  <si>
    <t>B96</t>
  </si>
  <si>
    <t>B102</t>
  </si>
  <si>
    <t>B105</t>
  </si>
  <si>
    <t>E102</t>
  </si>
  <si>
    <t>E105</t>
  </si>
  <si>
    <t>K102</t>
  </si>
  <si>
    <t>K105</t>
  </si>
  <si>
    <t>C112</t>
  </si>
  <si>
    <t>C113</t>
  </si>
  <si>
    <t>C114</t>
  </si>
  <si>
    <t>C115</t>
  </si>
  <si>
    <t>C116</t>
  </si>
  <si>
    <t>C117</t>
  </si>
  <si>
    <t>J112</t>
  </si>
  <si>
    <t>J113</t>
  </si>
  <si>
    <t>J114</t>
  </si>
  <si>
    <t>J115</t>
  </si>
  <si>
    <t>J116</t>
  </si>
  <si>
    <t>E36</t>
  </si>
  <si>
    <t>E38</t>
  </si>
  <si>
    <t>G18</t>
  </si>
  <si>
    <t>A1:O87</t>
  </si>
  <si>
    <t>A13:O87</t>
  </si>
  <si>
    <t>E13:E14</t>
  </si>
  <si>
    <t>G13:G18</t>
  </si>
  <si>
    <t>J21:J47</t>
  </si>
  <si>
    <t>B52:G55</t>
  </si>
  <si>
    <t>J52:J66</t>
  </si>
  <si>
    <t>B78:B87</t>
  </si>
  <si>
    <t>G78:G79</t>
  </si>
  <si>
    <t>E14</t>
  </si>
  <si>
    <t>G14</t>
  </si>
  <si>
    <t>J26</t>
  </si>
  <si>
    <t>J27</t>
  </si>
  <si>
    <t>J28</t>
  </si>
  <si>
    <t>J29</t>
  </si>
  <si>
    <t>J30</t>
  </si>
  <si>
    <t>J31</t>
  </si>
  <si>
    <t>J32</t>
  </si>
  <si>
    <t>J33</t>
  </si>
  <si>
    <t>J38</t>
  </si>
  <si>
    <t>J39</t>
  </si>
  <si>
    <t>J40</t>
  </si>
  <si>
    <t>J47</t>
  </si>
  <si>
    <t>B54</t>
  </si>
  <si>
    <t>B55</t>
  </si>
  <si>
    <t>J57</t>
  </si>
  <si>
    <t>J60</t>
  </si>
  <si>
    <t>J64</t>
  </si>
  <si>
    <t>J66</t>
  </si>
  <si>
    <t>B79</t>
  </si>
  <si>
    <t>B83</t>
  </si>
  <si>
    <t>B87</t>
  </si>
  <si>
    <t>G79</t>
  </si>
  <si>
    <t>_C000259</t>
  </si>
  <si>
    <t>5. Waive interim DSH payment for SFY?</t>
  </si>
  <si>
    <t>*Interim DSH Payment Year</t>
  </si>
  <si>
    <t>DSH Year From</t>
  </si>
  <si>
    <t>DSH Year To</t>
  </si>
  <si>
    <t>Survey Version</t>
  </si>
  <si>
    <t>DSH Examination Year</t>
  </si>
  <si>
    <t xml:space="preserve">Cost Report Year </t>
  </si>
  <si>
    <t xml:space="preserve">*Interim DSH Payment Year </t>
  </si>
  <si>
    <t>Firm Name</t>
  </si>
  <si>
    <t>DO NOT DELETE THIS SHEET!</t>
  </si>
  <si>
    <t>2d.</t>
  </si>
  <si>
    <t>2e.</t>
  </si>
  <si>
    <t>In-State Medicaid claims shortfall/(longfall) *GME Pymts to Xover claims included</t>
  </si>
  <si>
    <t>OOS Medicaid patients shortfall/(longfall)</t>
  </si>
  <si>
    <t>1011 Payments</t>
  </si>
  <si>
    <t>Tax Assessment Effect allocated to Medicaid costs</t>
  </si>
  <si>
    <t>SFY2016 Managed Care HAF / Med Ed payments and HIP HAF Settlements</t>
  </si>
  <si>
    <t>Medicaid shortfall/(longfall) after all payments (GME to crossover pymts, 1011 pymts, Managed Care HAF/Med Ed payments and HIP HAF settlements, etc.) and Tax Assessment Effect</t>
  </si>
  <si>
    <t>Survey Part II, Section H, Ln.145, Col.AV+AX</t>
  </si>
  <si>
    <t>Survey Part II, Section I, Ln.143, Col.X+Z</t>
  </si>
  <si>
    <t>Survey Part II, Section E, Ln.7</t>
  </si>
  <si>
    <t>Survey Part II, Section L, Ln.23, Col.K</t>
  </si>
  <si>
    <t>Survey Part I, Section C, 1+2+3</t>
  </si>
  <si>
    <t>2=2a+2b-2c+2d-2e</t>
  </si>
  <si>
    <t>CY Y1</t>
  </si>
  <si>
    <t xml:space="preserve"> Survey Part II Y1</t>
  </si>
  <si>
    <t>CY Y2</t>
  </si>
  <si>
    <t xml:space="preserve"> Survey Part II Y2</t>
  </si>
  <si>
    <t>In-State Uninsured claims shortfall/(longfall)</t>
  </si>
  <si>
    <t>Tax Assessment Effect allocated to uninsured costs</t>
  </si>
  <si>
    <t>Uninsured shortfall/(longfall) after Tax Assessment Effect</t>
  </si>
  <si>
    <t>Survey Part II, Section H, Ln.145, Col.AR+AT</t>
  </si>
  <si>
    <t>Survey Part II, Section L, Ln.24, Col.K</t>
  </si>
  <si>
    <t>3=3a+3b</t>
  </si>
  <si>
    <t>SFY2016 calculated UCC</t>
  </si>
  <si>
    <t>OOS DSH Payments</t>
  </si>
  <si>
    <t>SFY2016 calculated UCC after OOS DSH Payments</t>
  </si>
  <si>
    <t>4=2+3</t>
  </si>
  <si>
    <t xml:space="preserve">Survey Part II, Section E, Ln.8 </t>
  </si>
  <si>
    <t>6=4-5</t>
  </si>
  <si>
    <t xml:space="preserve">We used all the information from submitted SFY 2016 DSH HSL survey I and II to complete the above calculation, and the days, charges, and payments reported above are only for claims covering </t>
  </si>
  <si>
    <t>SFY2016 (7/1/2015-6/30/2016). We understand the above is a preliminary calculation only, and the final result is subject to Myers &amp; Stauffer's review and adjustment.</t>
  </si>
  <si>
    <t>(Should include all non-claim specific payments for hospital services such as lump sum payments for full Medicaid pricing (FMP), supplementals, quality payments, bonus payments, capitation payments received by the hospital (not by the MCO), or other incentive payments.</t>
  </si>
  <si>
    <t>NOTE: Hospital portion of supplemental payments reported on DSH Survey Part II, Section E, Question 14 should be reported here if paid on a SFY basis.</t>
  </si>
  <si>
    <t>ASAC38</t>
  </si>
  <si>
    <t>ASAC39</t>
  </si>
  <si>
    <t>SAC38</t>
  </si>
  <si>
    <t>SAC39</t>
  </si>
  <si>
    <t>Mcaid_Lump_Sum_Payments</t>
  </si>
  <si>
    <t>1. Medicaid Supplemental Payments</t>
  </si>
  <si>
    <t>3. Total Medicaid &amp; MCO Supplemental Payments</t>
  </si>
  <si>
    <t>MCO_Lump_Sum_Payments</t>
  </si>
  <si>
    <t>2. Medicaid MCO Supplemental Payments</t>
  </si>
  <si>
    <t>Mcaid_Lump_Sum_Payments_ADJ</t>
  </si>
  <si>
    <t>1. Adjusted Medicaid Supplemental Payments</t>
  </si>
  <si>
    <t>MCO_Lump_Sum_Payments_ADJ</t>
  </si>
  <si>
    <t>2. Adjusted Medicaid MCO Supplemental Payments</t>
  </si>
  <si>
    <t xml:space="preserve">3. Adjusted Total Medicaid and MCO Supplemental Payments </t>
  </si>
  <si>
    <t>Please check all items submitted and complete this checklist to submit with your survey.</t>
  </si>
  <si>
    <t>All supporting documents should be in ELECTRONIC VERSION - Format can be Excel (xls), Access (mdb), Dbase (dbf), Comma Separated Values (CSV); Word or PDF.</t>
  </si>
  <si>
    <t>- PDF</t>
  </si>
  <si>
    <t>- Word or PDF</t>
  </si>
  <si>
    <t>Please indicate the supporting file name here:</t>
  </si>
  <si>
    <t>Generic Instructions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</si>
  <si>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</si>
  <si>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t>
  </si>
  <si>
    <t xml:space="preserve">The hospital CEO or CFO must certify the accuracy of the survey responses. Provide hospital and outside preparer contacts who can respond to requests for additional information and answer questions related to the hospital's responses. </t>
  </si>
  <si>
    <t>INDIANA</t>
  </si>
  <si>
    <t>Calculation:</t>
  </si>
  <si>
    <t>1.
2.
3.
4.</t>
  </si>
  <si>
    <t xml:space="preserve">This tab is to allow the hospital to review the submitted calculated HSL prior to submitting the survey. 
Complete Line 1d, indicating whether your hospital facility is a municipal hospital.
Complete lines 2 through 5 data from Survey Part II per instructions. Please do NOT change the formulas.
Line 6 is the submitted Estimated SFY 2016 UCC after all payments and index effects. </t>
  </si>
  <si>
    <t>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t>
  </si>
  <si>
    <t>N/A</t>
  </si>
  <si>
    <t>All payments prepopulated in this section need to be carefully reviewed and verified; Any adjustments made must be supported by sepreatly submitted supporting documents.
*Non-Claim Specific payments paid based on the state fiscal year.</t>
  </si>
  <si>
    <t xml:space="preserve">Answer the DSH question.  The hospital CEO or CFO must certify the accuracy of the survey responses.  Provide hospital and outside preparer contacts who can respond to requests for additional information and answer questions related to the hospital's responses. </t>
  </si>
  <si>
    <t>Payment Amount</t>
  </si>
  <si>
    <r>
      <rPr>
        <b/>
        <sz val="10"/>
        <color indexed="12"/>
        <rFont val="Arial"/>
        <family val="2"/>
      </rPr>
      <t xml:space="preserve">Accountants Agreed-Upon Procedures Report, if applicable </t>
    </r>
    <r>
      <rPr>
        <b/>
        <sz val="10"/>
        <rFont val="Arial"/>
        <family val="2"/>
      </rPr>
      <t>(see cover letter).</t>
    </r>
  </si>
  <si>
    <r>
      <t>Electronic copy of the Excel Survey - Please name it "</t>
    </r>
    <r>
      <rPr>
        <b/>
        <sz val="10"/>
        <color indexed="12"/>
        <rFont val="Arial"/>
        <family val="2"/>
      </rPr>
      <t>Medicaid # - Provider Name - SFY2016 HSL Survey - Part I/II</t>
    </r>
    <r>
      <rPr>
        <b/>
        <sz val="10"/>
        <rFont val="Arial"/>
        <family val="2"/>
      </rPr>
      <t>"</t>
    </r>
  </si>
  <si>
    <r>
      <rPr>
        <b/>
        <sz val="10"/>
        <color indexed="12"/>
        <rFont val="Arial"/>
        <family val="2"/>
      </rPr>
      <t>Signature on Certification</t>
    </r>
    <r>
      <rPr>
        <b/>
        <sz val="10"/>
        <rFont val="Arial"/>
        <family val="2"/>
      </rPr>
      <t xml:space="preserve"> (hand-written)  (Survey-Sec.A-B, Page 2)</t>
    </r>
  </si>
  <si>
    <r>
      <t xml:space="preserve">Electronic copy of </t>
    </r>
    <r>
      <rPr>
        <b/>
        <sz val="10"/>
        <color indexed="12"/>
        <rFont val="Arial"/>
        <family val="2"/>
      </rPr>
      <t>Exhibit A - Support of Uninsured I/P and O/P Hospital Services</t>
    </r>
  </si>
  <si>
    <r>
      <t>- If the submitted supporting file was not named "</t>
    </r>
    <r>
      <rPr>
        <sz val="10"/>
        <color indexed="12"/>
        <rFont val="Arial"/>
        <family val="2"/>
      </rPr>
      <t>Medicaid # - Provider Name - Exhibit A</t>
    </r>
    <r>
      <rPr>
        <sz val="10"/>
        <rFont val="Arial"/>
        <family val="2"/>
      </rPr>
      <t>", please indicate the file name below:</t>
    </r>
  </si>
  <si>
    <r>
      <t xml:space="preserve">Electronic copy of Exhibit </t>
    </r>
    <r>
      <rPr>
        <b/>
        <sz val="10"/>
        <color indexed="12"/>
        <rFont val="Arial"/>
        <family val="2"/>
      </rPr>
      <t>B - Support of Uninsured I/P and O/P Hospital Services - CASH payments</t>
    </r>
  </si>
  <si>
    <r>
      <t>- If the submitted supporting file was not named "</t>
    </r>
    <r>
      <rPr>
        <sz val="10"/>
        <color indexed="12"/>
        <rFont val="Arial"/>
        <family val="2"/>
      </rPr>
      <t>Medicaid # - Provider Name - Exhibit B</t>
    </r>
    <r>
      <rPr>
        <sz val="10"/>
        <rFont val="Arial"/>
        <family val="2"/>
      </rPr>
      <t>", please indicate the file name below:</t>
    </r>
  </si>
  <si>
    <r>
      <t xml:space="preserve">Electronic copy of </t>
    </r>
    <r>
      <rPr>
        <b/>
        <sz val="10"/>
        <color indexed="12"/>
        <rFont val="Arial"/>
        <family val="2"/>
      </rPr>
      <t>Exhibit C - Support of In-State Medicaid-Eligible Not on Medicaid Paid Claims Data</t>
    </r>
  </si>
  <si>
    <r>
      <t>- If the submitted supporting file was not named "</t>
    </r>
    <r>
      <rPr>
        <sz val="10"/>
        <color indexed="12"/>
        <rFont val="Arial"/>
        <family val="2"/>
      </rPr>
      <t>Medicaid # - Provider Name - Exhibit C</t>
    </r>
    <r>
      <rPr>
        <sz val="10"/>
        <rFont val="Arial"/>
        <family val="2"/>
      </rPr>
      <t>", please indicate the file name below:</t>
    </r>
  </si>
  <si>
    <r>
      <t>Electronic copy of E</t>
    </r>
    <r>
      <rPr>
        <b/>
        <sz val="10"/>
        <color indexed="12"/>
        <rFont val="Arial"/>
        <family val="2"/>
      </rPr>
      <t>xhibit D - Support of OOS (Out-Of-State) Hospital Services</t>
    </r>
  </si>
  <si>
    <r>
      <t>- If the submitted supporting file was not named "</t>
    </r>
    <r>
      <rPr>
        <sz val="10"/>
        <color indexed="12"/>
        <rFont val="Arial"/>
        <family val="2"/>
      </rPr>
      <t>Medicaid # - Provider Name - Exhibit D</t>
    </r>
    <r>
      <rPr>
        <sz val="10"/>
        <rFont val="Arial"/>
        <family val="2"/>
      </rPr>
      <t>", please indicate the file name below:</t>
    </r>
  </si>
  <si>
    <r>
      <t xml:space="preserve">Electronic copy of </t>
    </r>
    <r>
      <rPr>
        <b/>
        <sz val="10"/>
        <color indexed="12"/>
        <rFont val="Arial"/>
        <family val="2"/>
      </rPr>
      <t>Verified Possible Duplicates and Overlaps</t>
    </r>
  </si>
  <si>
    <r>
      <t>- If the submitted supporting file was not named "</t>
    </r>
    <r>
      <rPr>
        <sz val="10"/>
        <color indexed="12"/>
        <rFont val="Arial"/>
        <family val="2"/>
      </rPr>
      <t>Medicaid # - Provider Name - Validated Possibles</t>
    </r>
    <r>
      <rPr>
        <sz val="10"/>
        <rFont val="Arial"/>
        <family val="2"/>
      </rPr>
      <t>", please indicate the file name below:</t>
    </r>
  </si>
  <si>
    <r>
      <t>Electronic copy of Support for</t>
    </r>
    <r>
      <rPr>
        <b/>
        <sz val="10"/>
        <color indexed="12"/>
        <rFont val="Arial"/>
        <family val="2"/>
      </rPr>
      <t xml:space="preserve"> Section 1011 (Undocumented Alien) payments</t>
    </r>
    <r>
      <rPr>
        <b/>
        <sz val="10"/>
        <rFont val="Arial"/>
        <family val="2"/>
      </rPr>
      <t xml:space="preserve"> if not applied at patient level in Exhibit A</t>
    </r>
  </si>
  <si>
    <r>
      <t xml:space="preserve">Electronic copy of documentation supporting </t>
    </r>
    <r>
      <rPr>
        <b/>
        <sz val="10"/>
        <color indexed="12"/>
        <rFont val="Arial"/>
        <family val="2"/>
      </rPr>
      <t xml:space="preserve">out-of-state DSH payments (if there's any) </t>
    </r>
    <r>
      <rPr>
        <b/>
        <sz val="10"/>
        <rFont val="Arial"/>
        <family val="2"/>
      </rPr>
      <t>received for SFY 2016</t>
    </r>
  </si>
  <si>
    <r>
      <t xml:space="preserve">Electronic copy of </t>
    </r>
    <r>
      <rPr>
        <b/>
        <sz val="10"/>
        <color indexed="12"/>
        <rFont val="Arial"/>
        <family val="2"/>
      </rPr>
      <t>cost reports</t>
    </r>
    <r>
      <rPr>
        <b/>
        <sz val="10"/>
        <rFont val="Arial"/>
        <family val="2"/>
      </rPr>
      <t xml:space="preserve"> used to CHANGE DSH Survey Part II </t>
    </r>
    <r>
      <rPr>
        <b/>
        <sz val="10"/>
        <color indexed="12"/>
        <rFont val="Arial"/>
        <family val="2"/>
      </rPr>
      <t>*</t>
    </r>
    <r>
      <rPr>
        <b/>
        <sz val="10"/>
        <color indexed="10"/>
        <rFont val="Arial"/>
        <family val="2"/>
      </rPr>
      <t>ONLY If Sec.G of Survey Part II prepopulated data was changed.</t>
    </r>
  </si>
  <si>
    <r>
      <t xml:space="preserve">Copy of Financial statements or other document(s) to support </t>
    </r>
    <r>
      <rPr>
        <b/>
        <sz val="10"/>
        <color indexed="12"/>
        <rFont val="Arial"/>
        <family val="2"/>
      </rPr>
      <t>cash subsidies and charity charges</t>
    </r>
    <r>
      <rPr>
        <b/>
        <sz val="10"/>
        <rFont val="Arial"/>
        <family val="2"/>
      </rPr>
      <t xml:space="preserve"> </t>
    </r>
  </si>
  <si>
    <r>
      <t xml:space="preserve">Documentation supporting </t>
    </r>
    <r>
      <rPr>
        <b/>
        <sz val="10"/>
        <color rgb="FF0000FF"/>
        <rFont val="Arial"/>
        <family val="2"/>
      </rPr>
      <t>cost report payments calculated for crossover claims</t>
    </r>
  </si>
  <si>
    <t>Project Type</t>
  </si>
  <si>
    <t>I83</t>
  </si>
  <si>
    <t>I76</t>
  </si>
  <si>
    <t>I79</t>
  </si>
  <si>
    <t>DSH_Survey_Part_I</t>
  </si>
  <si>
    <t>I47</t>
  </si>
  <si>
    <t>CCN</t>
  </si>
  <si>
    <t>ProvNum</t>
  </si>
  <si>
    <t>NPI</t>
  </si>
  <si>
    <t>FYE</t>
  </si>
  <si>
    <t>Bad Debt</t>
  </si>
  <si>
    <t>Property Tax</t>
  </si>
  <si>
    <t>Raw Food</t>
  </si>
  <si>
    <t>Direct Health Care</t>
  </si>
  <si>
    <t>Indirect Health Care</t>
  </si>
  <si>
    <t>A&amp;O Costs</t>
  </si>
  <si>
    <t>Excluded Costs</t>
  </si>
  <si>
    <t>Medicaid Days</t>
  </si>
  <si>
    <t>Resident Days</t>
  </si>
  <si>
    <t>CategoryID</t>
  </si>
  <si>
    <t>CategoryName</t>
  </si>
  <si>
    <t>15 (a).</t>
  </si>
  <si>
    <t>15 (b).</t>
  </si>
  <si>
    <t>FL Review Type</t>
  </si>
  <si>
    <t xml:space="preserve">I hereby certify that the information in Sections A, B, C, D, E, F, G, H, I, J, K,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</si>
  <si>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K, L,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</si>
  <si>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Wisconsin</t>
  </si>
  <si>
    <t>A detailed revenue working trial balance by payer/contract based on final primary payment category.  The schedule should show charges, contractual adjustments, and revenues by payer plan and contract (e.g., Medicare, each Medicaid agency payer, each Medicaid Managed care contract).</t>
  </si>
  <si>
    <t>Alabama</t>
  </si>
  <si>
    <t>Alaska</t>
  </si>
  <si>
    <t>Arizona</t>
  </si>
  <si>
    <t>Arkansas</t>
  </si>
  <si>
    <t>California DPH</t>
  </si>
  <si>
    <t>California NDPH</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</si>
  <si>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</si>
  <si>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</si>
  <si>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</si>
  <si>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</si>
  <si>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</si>
  <si>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</si>
  <si>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</si>
  <si>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</si>
  <si>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</si>
  <si>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</si>
  <si>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</si>
  <si>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</si>
  <si>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</si>
  <si>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</si>
  <si>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</si>
  <si>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</si>
  <si>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</si>
  <si>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</si>
  <si>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</si>
  <si>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</si>
  <si>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</si>
  <si>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</si>
  <si>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</si>
  <si>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</si>
  <si>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</si>
  <si>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</si>
  <si>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</si>
  <si>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</si>
  <si>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</si>
  <si>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</si>
  <si>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</si>
  <si>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</si>
  <si>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</si>
  <si>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</si>
  <si>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</si>
  <si>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</si>
  <si>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</si>
  <si>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</si>
  <si>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</si>
  <si>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</si>
  <si>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</si>
  <si>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</si>
  <si>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</si>
  <si>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</si>
  <si>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Does the hospital provide a wide array of services, including services provided through an emergency department recognized by DQA</t>
  </si>
  <si>
    <t>as outlined in §9230 of the approved state plan?</t>
  </si>
  <si>
    <t>B.  DSH Qualifying Information</t>
  </si>
  <si>
    <t>Wisconsin DSH Qualification Criteria</t>
  </si>
  <si>
    <t>Supplemental DSH Qualification</t>
  </si>
  <si>
    <r>
      <t xml:space="preserve">as outlined in </t>
    </r>
    <r>
      <rPr>
        <sz val="10"/>
        <rFont val="Calibri"/>
        <family val="2"/>
      </rPr>
      <t>§</t>
    </r>
    <r>
      <rPr>
        <sz val="10"/>
        <rFont val="Arial"/>
        <family val="2"/>
      </rPr>
      <t>9230 of the approved state plan:</t>
    </r>
  </si>
  <si>
    <t>The hospital provides a wide array of services, including services provided through an emergency department recognized by DQA.</t>
  </si>
  <si>
    <t xml:space="preserve">A DSH Waiver &amp; MIUR Data form is included in DSH Survey Part I. A hospital that did not receive an interim DSH payment for the year under examination and elects not to receive a Wisconsin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Wisconsin to submit the MIUR for each hospital in the state that receives a Medicaid payment.  It is important that the “Days” section is completed so the MIUR can be accurately reported to CMS as the MIUR data may affect future federal funding.    </t>
  </si>
  <si>
    <t>MISSOURI/LOUISIANA/WISCONSIN</t>
  </si>
  <si>
    <t>B - DSH Qualifying Information</t>
  </si>
  <si>
    <t>Provide services in an emergency department?</t>
  </si>
  <si>
    <t>B. DSH Qualifying Information:</t>
  </si>
  <si>
    <t>Answer "B. DSH Qualifying Information" questions 1, 2 and 3 to determine if your hospital is eligible to receive DSH payments.</t>
  </si>
  <si>
    <t>The “Sec. A-C DSH Year Data” tab of DSH Year Survey Part I, Section B. DSH Qualifying Information, has two sets of OB questions. The first set of OB questions relates to the interim DSH payments which are the subject of the federal DSH examination. The second set of OB questions relates to the interim DSH payments for the upcoming SFY interim DSH payment calculation. You must complete the first set of OB questions if you are required to participate in the DSH examination. You must complete the second set of OB questions if you are electing to participate in the upcoming SFY interim DSH payment calculation.</t>
  </si>
  <si>
    <t>Answer "B. DSH Qualifying Information" questions 1, 2 and 3 to determine if your hospital is eligible to receive DSH payments.  
List the OB information as requried if you answered "Yes" to question 1.
Answer 3a and 3b if you answered "Yes" to question 3.</t>
  </si>
  <si>
    <t>DSHM&amp;S#2020</t>
  </si>
  <si>
    <t>DSH Year Begin</t>
  </si>
  <si>
    <t>DSH Year End</t>
  </si>
  <si>
    <t>↑NOTE: DO NOT overwrite formula in cell above. Update DSH Year by entering begin/end dates in cell E1 and E2, respectively.</t>
  </si>
  <si>
    <t>Kansas City, Missouri 64112</t>
  </si>
  <si>
    <t>700 W. 47th Street, Suite 1100</t>
  </si>
  <si>
    <t>Fax: (816) 945-5301</t>
  </si>
  <si>
    <t>Phone: (800) 374-6858</t>
  </si>
  <si>
    <t>E-Mail: GADSH@mslc.com</t>
  </si>
  <si>
    <t>PIEDMONT CARTERSVILLE MEDICAL CENTER</t>
  </si>
  <si>
    <t>PIEDMONT MACON MEDICAL CENTER</t>
  </si>
  <si>
    <t>PIEDMONT MACON NORTH HOSPITAL</t>
  </si>
  <si>
    <t>PIEDMONT EASTSIDE MEDICAL CENTER</t>
  </si>
  <si>
    <t>Encompass Health Rehabilitation Hosp</t>
  </si>
  <si>
    <t>LIFE BRITE COMMUNITY HOSPITAL OF EAR</t>
  </si>
  <si>
    <t>ATRIUM HEALTH NAVICENT PEACH</t>
  </si>
  <si>
    <t>MEMORIAL HOSPITAL &amp; MANOR-BAINBRIDGE</t>
  </si>
  <si>
    <t>ATRIUM HEALTH NAVICENT BALDWIN</t>
  </si>
  <si>
    <t>PIEDMONT COLUMBUS REGIONAL NORTHSIDE</t>
  </si>
  <si>
    <t>ADVENTHEALTH REDMOND</t>
  </si>
  <si>
    <t>000000833A</t>
  </si>
  <si>
    <t>000001383A</t>
  </si>
  <si>
    <t>000000052A</t>
  </si>
  <si>
    <t>000000723A</t>
  </si>
  <si>
    <t>000000118A</t>
  </si>
  <si>
    <t>000000195A</t>
  </si>
  <si>
    <t>000000239A</t>
  </si>
  <si>
    <t>000000283A</t>
  </si>
  <si>
    <t>000000316A</t>
  </si>
  <si>
    <t>000000327A</t>
  </si>
  <si>
    <t>000001625A</t>
  </si>
  <si>
    <t>000001933A</t>
  </si>
  <si>
    <t>003180661A</t>
  </si>
  <si>
    <t>000001636A</t>
  </si>
  <si>
    <t>000679808A</t>
  </si>
  <si>
    <t>000000943A</t>
  </si>
  <si>
    <t>000000415A</t>
  </si>
  <si>
    <t>000000448A</t>
  </si>
  <si>
    <t>000000459A</t>
  </si>
  <si>
    <t>000295358A</t>
  </si>
  <si>
    <t>000002021A</t>
  </si>
  <si>
    <t>000000514A</t>
  </si>
  <si>
    <t>000000558A</t>
  </si>
  <si>
    <t>000000591A</t>
  </si>
  <si>
    <t>000206181A</t>
  </si>
  <si>
    <t>000000613A</t>
  </si>
  <si>
    <t>000000272A</t>
  </si>
  <si>
    <t>000000657A</t>
  </si>
  <si>
    <t>000000668A</t>
  </si>
  <si>
    <t>000000701A</t>
  </si>
  <si>
    <t>000000536A</t>
  </si>
  <si>
    <t>000190088A</t>
  </si>
  <si>
    <t>000000536U</t>
  </si>
  <si>
    <t>344886600A</t>
  </si>
  <si>
    <t>000000525A</t>
  </si>
  <si>
    <t>003212414A</t>
  </si>
  <si>
    <t>000000712A</t>
  </si>
  <si>
    <t>000000503A</t>
  </si>
  <si>
    <t>003213641A</t>
  </si>
  <si>
    <t>003161381A</t>
  </si>
  <si>
    <t>000000734A</t>
  </si>
  <si>
    <t>000001141A</t>
  </si>
  <si>
    <t>000134406A</t>
  </si>
  <si>
    <t>000149487A</t>
  </si>
  <si>
    <t>000000756A</t>
  </si>
  <si>
    <t>000000844A</t>
  </si>
  <si>
    <t>000000855A</t>
  </si>
  <si>
    <t>000000877A</t>
  </si>
  <si>
    <t>000000899A</t>
  </si>
  <si>
    <t>000368387A</t>
  </si>
  <si>
    <t>000000954A</t>
  </si>
  <si>
    <t>000000976A</t>
  </si>
  <si>
    <t>000000987A</t>
  </si>
  <si>
    <t>000000998A</t>
  </si>
  <si>
    <t>000001009A</t>
  </si>
  <si>
    <t>000001031A</t>
  </si>
  <si>
    <t>000001042A</t>
  </si>
  <si>
    <t>000000063A</t>
  </si>
  <si>
    <t>000001152A</t>
  </si>
  <si>
    <t>000000635A</t>
  </si>
  <si>
    <t>000001086A</t>
  </si>
  <si>
    <t>000001207A</t>
  </si>
  <si>
    <t>000001449A</t>
  </si>
  <si>
    <t>000001273A</t>
  </si>
  <si>
    <t>000001262A</t>
  </si>
  <si>
    <t>000001229A</t>
  </si>
  <si>
    <t>000001317A</t>
  </si>
  <si>
    <t>000001339A</t>
  </si>
  <si>
    <t>000001361A</t>
  </si>
  <si>
    <t>000694229A</t>
  </si>
  <si>
    <t>000001559A</t>
  </si>
  <si>
    <t>000000129A</t>
  </si>
  <si>
    <t>000002098A</t>
  </si>
  <si>
    <t>003229414A</t>
  </si>
  <si>
    <t>000000888A</t>
  </si>
  <si>
    <t>000001405A</t>
  </si>
  <si>
    <t>000001064A</t>
  </si>
  <si>
    <t>000000294A</t>
  </si>
  <si>
    <t>000001108A</t>
  </si>
  <si>
    <t>000000767A</t>
  </si>
  <si>
    <t>000001647A</t>
  </si>
  <si>
    <t>000001878A</t>
  </si>
  <si>
    <t>000001471A</t>
  </si>
  <si>
    <t>000001482A</t>
  </si>
  <si>
    <t>000000019A</t>
  </si>
  <si>
    <t>000002109A</t>
  </si>
  <si>
    <t>000000074A</t>
  </si>
  <si>
    <t>000001196A</t>
  </si>
  <si>
    <t>000315642A</t>
  </si>
  <si>
    <t>000755323A</t>
  </si>
  <si>
    <t>000182388A</t>
  </si>
  <si>
    <t>000001504A</t>
  </si>
  <si>
    <t>000001493A</t>
  </si>
  <si>
    <t>000000492A</t>
  </si>
  <si>
    <t>000001394A</t>
  </si>
  <si>
    <t>000001603A</t>
  </si>
  <si>
    <t>000020677A</t>
  </si>
  <si>
    <t>000001526A</t>
  </si>
  <si>
    <t>000001537A</t>
  </si>
  <si>
    <t>000001581A</t>
  </si>
  <si>
    <t>003225152A</t>
  </si>
  <si>
    <t>003213433A</t>
  </si>
  <si>
    <t>003214227A</t>
  </si>
  <si>
    <t>000000778A</t>
  </si>
  <si>
    <t>000001768A</t>
  </si>
  <si>
    <t>000001823A</t>
  </si>
  <si>
    <t>003222162A</t>
  </si>
  <si>
    <t>000472513A</t>
  </si>
  <si>
    <t>003229133A</t>
  </si>
  <si>
    <t>000248069A</t>
  </si>
  <si>
    <t>000000173A</t>
  </si>
  <si>
    <t>000001163A</t>
  </si>
  <si>
    <t>000001724A</t>
  </si>
  <si>
    <t>000000811A</t>
  </si>
  <si>
    <t>000000822A</t>
  </si>
  <si>
    <t>003136026A</t>
  </si>
  <si>
    <t>000000404A</t>
  </si>
  <si>
    <t>000001251A</t>
  </si>
  <si>
    <t>000001801A</t>
  </si>
  <si>
    <t>000001812A</t>
  </si>
  <si>
    <t>000001328A</t>
  </si>
  <si>
    <t>000000437A</t>
  </si>
  <si>
    <t>000001834A</t>
  </si>
  <si>
    <t>000001867A</t>
  </si>
  <si>
    <t>000002032A</t>
  </si>
  <si>
    <t>000001548A</t>
  </si>
  <si>
    <t>000001922A</t>
  </si>
  <si>
    <t>000001966A</t>
  </si>
  <si>
    <t>000001977A</t>
  </si>
  <si>
    <t>000001185A</t>
  </si>
  <si>
    <t>000001988A</t>
  </si>
  <si>
    <t>000001284A</t>
  </si>
  <si>
    <t>000001218A</t>
  </si>
  <si>
    <t>000002054A</t>
  </si>
  <si>
    <t>000000789A</t>
  </si>
  <si>
    <t>000000426A</t>
  </si>
  <si>
    <t>000000624A</t>
  </si>
  <si>
    <t>000001119A</t>
  </si>
  <si>
    <t>000275976A</t>
  </si>
  <si>
    <t>000001438A</t>
  </si>
  <si>
    <t>000000866A</t>
  </si>
  <si>
    <t>000001856A</t>
  </si>
  <si>
    <t>000002065A</t>
  </si>
  <si>
    <t>000001999A</t>
  </si>
  <si>
    <t>000002087A</t>
  </si>
  <si>
    <t>000000712B</t>
  </si>
  <si>
    <t>000000888S</t>
  </si>
  <si>
    <t>000001416A</t>
  </si>
  <si>
    <t>000148233A</t>
  </si>
  <si>
    <t>000001724G</t>
  </si>
  <si>
    <t>000001713A</t>
  </si>
  <si>
    <t>C:\Users\bbass\Desktop\DELETE\GA Payment\Survey part I\</t>
  </si>
  <si>
    <t>ADVENTHEALTH GORDON HOSPITAL</t>
  </si>
  <si>
    <t>ADVENTHEALTH MURRAY MEDICAL CENTER</t>
  </si>
  <si>
    <t>APPLING HOSPITAL</t>
  </si>
  <si>
    <t>AU Medical Center</t>
  </si>
  <si>
    <t>BACON COUNTY HOSPITAL</t>
  </si>
  <si>
    <t>BLECKLEY MEMORIAL HOSPITAL</t>
  </si>
  <si>
    <t>BROOKS COUNTY HOSPITAL</t>
  </si>
  <si>
    <t>BURKE MEDICAL CENTER</t>
  </si>
  <si>
    <t>CANDLER COUNTY HOSPITAL</t>
  </si>
  <si>
    <t>CANDLER HOSPITAL</t>
  </si>
  <si>
    <t>CHATUGE REGIONAL HOSPITAL</t>
  </si>
  <si>
    <t>CHI MEMORIAL HOSPITAL - GEORGIA</t>
  </si>
  <si>
    <t>CHILDREN'S HEALTHCARE-SCOTTISH RITE</t>
  </si>
  <si>
    <t>CHILDREN'S HLTHCRE-HUGHES SPALDING</t>
  </si>
  <si>
    <t>CHILDREN'S HOSPITAL ATL AT EGLESTON</t>
  </si>
  <si>
    <t>CLINCH MEMORIAL HOSPITAL</t>
  </si>
  <si>
    <t>COFFEE REGIONAL MEDICAL CENTER</t>
  </si>
  <si>
    <t>COLQUITT REGIONAL MEDICAL CENTER</t>
  </si>
  <si>
    <t>CRISP REGIONAL HOSPITAL</t>
  </si>
  <si>
    <t>DOCTORS HOSPITAL-AUGUSTA</t>
  </si>
  <si>
    <t>DODGE COUNTY HOSPITAL</t>
  </si>
  <si>
    <t>DONALSONVILLE HOSPITAL</t>
  </si>
  <si>
    <t>DORMINY MEDICAL CENTER</t>
  </si>
  <si>
    <t>EAST GEORGIA MEDICAL CENTER</t>
  </si>
  <si>
    <t>EFFINGHAM HOSPITAL</t>
  </si>
  <si>
    <t>ELBERT MEMORIAL HOSPITAL</t>
  </si>
  <si>
    <t>EMANUEL MEDICAL CENTER</t>
  </si>
  <si>
    <t>EMORY DECATUR</t>
  </si>
  <si>
    <t>EMORY HILLANDALE HOSPITAL</t>
  </si>
  <si>
    <t>EMORY JOHNS CREEK</t>
  </si>
  <si>
    <t>EMORY LONG TERM ACUTE CARE</t>
  </si>
  <si>
    <t>Emory Rehabilitation Hospital</t>
  </si>
  <si>
    <t>EMORY UNIVERSITY HOSPITAL</t>
  </si>
  <si>
    <t>EMORY UNIVERSITY HOSPITAL MIDTOWN</t>
  </si>
  <si>
    <t>Encompass Health Rehab of Newnan</t>
  </si>
  <si>
    <t>EVANS MEMORIAL HOSPITAL</t>
  </si>
  <si>
    <t>FAIRVIEW PARK HOSPITAL</t>
  </si>
  <si>
    <t>FANNIN REGIONAL HOSPITAL</t>
  </si>
  <si>
    <t>FLINT RIVER HOSPITAL</t>
  </si>
  <si>
    <t>FLOYD MEDICAL CENTER</t>
  </si>
  <si>
    <t>GRADY GENERAL HOSPITAL</t>
  </si>
  <si>
    <t>GRADY MEMORIAL HOSPITAL</t>
  </si>
  <si>
    <t>HABERSHAM COUNTY MEDICAL CENTER</t>
  </si>
  <si>
    <t>HAMILTON MEDICAL CENTER</t>
  </si>
  <si>
    <t>HealthSouth Walton Rehab Hospital</t>
  </si>
  <si>
    <t>HIGGINS GENERAL HOSPITAL</t>
  </si>
  <si>
    <t>HOUSTON MEDICAL CENTER</t>
  </si>
  <si>
    <t>IRWIN COUNTY HOSPITAL</t>
  </si>
  <si>
    <t>JASPER MEMORIAL HOSPITAL</t>
  </si>
  <si>
    <t>JEFF DAVIS HOSPITAL</t>
  </si>
  <si>
    <t>JEFFERSON HOSPITAL</t>
  </si>
  <si>
    <t>JENKINS MEMORIAL MEDICAL CENTER</t>
  </si>
  <si>
    <t>John D. Archbold Memorial Hospital</t>
  </si>
  <si>
    <t>LIBERTY REGIONAL MEDICAL CENTER</t>
  </si>
  <si>
    <t>MEADOWS REGIONAL MEDICAL CENTER</t>
  </si>
  <si>
    <t>ATRIUM HEALTH NAVICENT MEDICAL CENTER</t>
  </si>
  <si>
    <t>MEMORIAL HEALTH UNIV MEDICAL CENTER</t>
  </si>
  <si>
    <t>MEMORIAL SATILLA HEALTH</t>
  </si>
  <si>
    <t>MILLER COUNTY HOSPITAL</t>
  </si>
  <si>
    <t>MITCHELL COUNTY HOSPITAL</t>
  </si>
  <si>
    <t>MONROE COUNTY HOSPITAL</t>
  </si>
  <si>
    <t>MORGAN MEMORIAL HOSPITAL</t>
  </si>
  <si>
    <t>MOUNTAIN LAKES MEDICAL CENTER</t>
  </si>
  <si>
    <t>NGMC Barrow</t>
  </si>
  <si>
    <t>NORTHEAST GEORGIA MC LUMPKIN</t>
  </si>
  <si>
    <t>NORTHEAST GEORGIA MEDICAL CENTER</t>
  </si>
  <si>
    <t>NORTHSIDE HOSPITAL</t>
  </si>
  <si>
    <t>Northside Hospital, Inc. - Duluth</t>
  </si>
  <si>
    <t>Northside Hospital, Inc. - Gwinnett</t>
  </si>
  <si>
    <t>NORTHSIDE HOSPITAL-CHEROKEE</t>
  </si>
  <si>
    <t>NORTHSIDE HOSPITAL-FORSYTH</t>
  </si>
  <si>
    <t>OPTIM MEDICAL CENTER - SCREVEN</t>
  </si>
  <si>
    <t>OPTIM MEDICAL CENTER - TATTNALL</t>
  </si>
  <si>
    <t>Perry Hospital</t>
  </si>
  <si>
    <t>PHOEBE PUTNEY MEMORIAL HOSPITAL</t>
  </si>
  <si>
    <t>PHOEBE SUMTER MEDICAL CENTER</t>
  </si>
  <si>
    <t>PHOEBE WORTH MEDICAL CENTER</t>
  </si>
  <si>
    <t>PIEDMONT ATHENS REGIONAL MED CTR</t>
  </si>
  <si>
    <t>PIEDMONT COLUMBUS REGIONAL MIDTOWN</t>
  </si>
  <si>
    <t>PIEDMONT FAYETTE HOSPITAL</t>
  </si>
  <si>
    <t>PIEDMONT HENRY HOSPITAL</t>
  </si>
  <si>
    <t>PIEDMONT HOSPITAL</t>
  </si>
  <si>
    <t>PIEDMONT MOUNTAINSIDE HOSPITAL</t>
  </si>
  <si>
    <t>PIEDMONT NEWNAN HOSPITAL</t>
  </si>
  <si>
    <t>PIEDMONT NEWTON HOSPITAL</t>
  </si>
  <si>
    <t>PIEDMONT ROCKDALE MEDICAL CENTER</t>
  </si>
  <si>
    <t>PIEDMONT WALTON</t>
  </si>
  <si>
    <t>POLK MEDICAL CENTER</t>
  </si>
  <si>
    <t>PUTNAM GENERAL HOSPITAL</t>
  </si>
  <si>
    <t>REGENCY HOSPITAL OF MACON</t>
  </si>
  <si>
    <t>REHAB Hospital, Navicent Health</t>
  </si>
  <si>
    <t>Roosevelt Warm Sprgs LTAC Hosp</t>
  </si>
  <si>
    <t>ROOSEVELT WARM SPRGS REHAB HOSPITAL</t>
  </si>
  <si>
    <t>SAINT FRANCIS HOSPITAL</t>
  </si>
  <si>
    <t>SAINT MARY'S HOSPITAL</t>
  </si>
  <si>
    <t>SELECT SPECIALTY AUGUSTA</t>
  </si>
  <si>
    <t>SELECT SPECIALTY MIDTOWN ATL</t>
  </si>
  <si>
    <t>SELECT SPECIALTY SAVANNAH</t>
  </si>
  <si>
    <t>SHEPHERD CENTER</t>
  </si>
  <si>
    <t>South Georgia Med Ctr - Berrien</t>
  </si>
  <si>
    <t>SOUTH GEORGIA MED CTR - LANIER</t>
  </si>
  <si>
    <t>SOUTH GEORGIA MEDICAL CENTER</t>
  </si>
  <si>
    <t>SOUTHEAST GA HLTH SYS-CAMDEN CAMPUS</t>
  </si>
  <si>
    <t>SOUTHEAST GEORGIA MEDICAL CENTER</t>
  </si>
  <si>
    <t>Southeastern Regional Medical Cntr</t>
  </si>
  <si>
    <t>SOUTHERN REGIONAL MEDICAL CENTER</t>
  </si>
  <si>
    <t>SOUTHWELL MEDICAL</t>
  </si>
  <si>
    <t>St. Joseph Hospital Savannah</t>
  </si>
  <si>
    <t>St. Joseph Hospital-Atlanta</t>
  </si>
  <si>
    <t>ST. MARYS GOOD SAMARITAN</t>
  </si>
  <si>
    <t>ST. MARYS SACRED HEART HOSPITAL</t>
  </si>
  <si>
    <t>STEPHENS COUNTY HOSPITAL</t>
  </si>
  <si>
    <t>TANNER MEDICAL CENTER-CARROLLTON</t>
  </si>
  <si>
    <t>TANNER MEDICAL CENTER-VILLA RICA</t>
  </si>
  <si>
    <t>TAYLOR REGIONAL HOSPITAL</t>
  </si>
  <si>
    <t>TIFT REGIONAL MEDICAL CENTER</t>
  </si>
  <si>
    <t>UNION GENERAL HOSPITAL</t>
  </si>
  <si>
    <t>UNIVERSITY HOSPITAL</t>
  </si>
  <si>
    <t>UNIVERSITY HOSPITAL MCDUFFIE</t>
  </si>
  <si>
    <t>UPSON REGIONAL MEDICAL CENTER</t>
  </si>
  <si>
    <t>WARM SPRINGS MEDICAL CENTER</t>
  </si>
  <si>
    <t>WASHINGTON COUNTY REGIONAL MED CTR</t>
  </si>
  <si>
    <t>WAYNE MEMORIAL HOSPITAL</t>
  </si>
  <si>
    <t>WELLSTAR ATLANTA MEDICAL CENTER</t>
  </si>
  <si>
    <t>WELLSTAR COBB HOSPITAL</t>
  </si>
  <si>
    <t>WELLSTAR DOUGLAS HOSPITAL</t>
  </si>
  <si>
    <t>WELLSTAR KENNESTONE HOSPITAL</t>
  </si>
  <si>
    <t>WELLSTAR NORTH FULTON REGIONAL HOSP</t>
  </si>
  <si>
    <t>WELLSTAR PAULDING HOSPITAL</t>
  </si>
  <si>
    <t>WELLSTAR SPALDING REGIONAL HOSPITAL</t>
  </si>
  <si>
    <t>WELLSTAR SYLVAN GROVE HOSPITAL</t>
  </si>
  <si>
    <t>WELLSTAR WEST GEORGIA HOSPITAL</t>
  </si>
  <si>
    <t>WELLSTAR WINDY HILL HOSPITAL</t>
  </si>
  <si>
    <t>WILLS MEMORIAL HOSPITAL</t>
  </si>
  <si>
    <t>Natalie Reynolds</t>
  </si>
  <si>
    <t>Manager of Reimbursement</t>
  </si>
  <si>
    <t>706-828-6430</t>
  </si>
  <si>
    <t>nareynolds@augusta.edu</t>
  </si>
  <si>
    <t>1120 15th Street, Building O107, Suite 510</t>
  </si>
  <si>
    <t>Augusta, GA 30912</t>
  </si>
  <si>
    <t>Jill Thompson</t>
  </si>
  <si>
    <t>Manager</t>
  </si>
  <si>
    <t xml:space="preserve">HORNE </t>
  </si>
  <si>
    <t>225-341-3179</t>
  </si>
  <si>
    <t>JillC.Thompson@horne.com</t>
  </si>
  <si>
    <t>X</t>
  </si>
  <si>
    <t>Maxwell Kagan</t>
  </si>
  <si>
    <t>Interim CFO</t>
  </si>
  <si>
    <t>Maxwell.Kagan@wellstar.org</t>
  </si>
  <si>
    <t>470-644-0065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</si>
</sst>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3" formatCode="_(* #,##0.00_);_(* \(#,##0.00\);_(* &quot;-&quot;??_);_(@_)"/>
    <numFmt numFmtId="164" formatCode="_(* #,##0_);_(* \(#,##0\);_(* &quot;-&quot;??_);_(@_)"/>
    <numFmt numFmtId="165" formatCode="mm/dd/yy"/>
    <numFmt numFmtId="166" formatCode="0_);[Red]\(0\)"/>
    <numFmt numFmtId="167" formatCode="[&lt;=9999999]###\-####;\(###\)\ ###\-####"/>
    <numFmt numFmtId="168" formatCode="mm/dd/yyyy"/>
    <numFmt numFmtId="169" formatCode="0;[Red]0"/>
    <numFmt numFmtId="170" formatCode="0."/>
  </numFmts>
  <fonts count="78">
    <font>
      <sz val="10"/>
      <name val="CG Times (W1)"/>
    </font>
    <font>
      <sz val="11"/>
      <color theme="1"/>
      <name val="Calibri"/>
      <family val="2"/>
      <scheme val="minor"/>
    </font>
    <font>
      <sz val="10"/>
      <name val="CG Times (W1)"/>
    </font>
    <font>
      <sz val="10"/>
      <name val="Arial"/>
      <family val="2"/>
    </font>
    <font>
      <b/>
      <sz val="10"/>
      <name val="Arial"/>
      <family val="2"/>
    </font>
    <font>
      <sz val="12"/>
      <name val="Arial"/>
      <family val="2"/>
    </font>
    <font>
      <b/>
      <u/>
      <sz val="10"/>
      <name val="Arial"/>
      <family val="2"/>
    </font>
    <font>
      <i/>
      <sz val="10"/>
      <name val="Arial"/>
      <family val="2"/>
    </font>
    <font>
      <b/>
      <sz val="14"/>
      <name val="Arial"/>
      <family val="2"/>
    </font>
    <font>
      <sz val="10"/>
      <color indexed="12"/>
      <name val="Arial"/>
      <family val="2"/>
    </font>
    <font>
      <b/>
      <sz val="10"/>
      <color indexed="12"/>
      <name val="Arial"/>
      <family val="2"/>
    </font>
    <font>
      <b/>
      <sz val="12"/>
      <name val="Arial"/>
      <family val="2"/>
    </font>
    <font>
      <u/>
      <sz val="12"/>
      <name val="Arial"/>
      <family val="2"/>
    </font>
    <font>
      <sz val="11"/>
      <color indexed="8"/>
      <name val="Calibri"/>
      <family val="2"/>
    </font>
    <font>
      <sz val="11"/>
      <color indexed="9"/>
      <name val="Calibri"/>
      <family val="2"/>
    </font>
    <font>
      <i/>
      <sz val="12"/>
      <name val="Arial"/>
      <family val="2"/>
    </font>
    <font>
      <sz val="12"/>
      <color indexed="12"/>
      <name val="Arial"/>
      <family val="2"/>
    </font>
    <font>
      <b/>
      <sz val="9"/>
      <name val="Arial"/>
      <family val="2"/>
    </font>
    <font>
      <sz val="10"/>
      <color indexed="8"/>
      <name val="Arial"/>
      <family val="2"/>
    </font>
    <font>
      <u/>
      <sz val="10"/>
      <color indexed="8"/>
      <name val="Arial"/>
      <family val="2"/>
    </font>
    <font>
      <b/>
      <sz val="10"/>
      <color indexed="8"/>
      <name val="Arial"/>
      <family val="2"/>
    </font>
    <font>
      <sz val="11"/>
      <color indexed="9"/>
      <name val="Arial"/>
      <family val="2"/>
    </font>
    <font>
      <b/>
      <sz val="11"/>
      <color indexed="8"/>
      <name val="Arial"/>
      <family val="2"/>
    </font>
    <font>
      <b/>
      <u/>
      <sz val="12"/>
      <name val="Arial"/>
      <family val="2"/>
    </font>
    <font>
      <sz val="9"/>
      <color indexed="8"/>
      <name val="Arial"/>
      <family val="2"/>
    </font>
    <font>
      <b/>
      <sz val="10"/>
      <color indexed="9"/>
      <name val="Arial"/>
      <family val="2"/>
    </font>
    <font>
      <sz val="9"/>
      <name val="Arial"/>
      <family val="2"/>
    </font>
    <font>
      <sz val="8"/>
      <name val="Arial"/>
      <family val="2"/>
    </font>
    <font>
      <b/>
      <i/>
      <sz val="14"/>
      <name val="Arial"/>
      <family val="2"/>
    </font>
    <font>
      <u/>
      <sz val="10"/>
      <name val="Arial"/>
      <family val="2"/>
    </font>
    <font>
      <sz val="10"/>
      <name val="Calibri"/>
      <family val="2"/>
    </font>
    <font>
      <b/>
      <sz val="10"/>
      <name val="CG Times (W1)"/>
    </font>
    <font>
      <b/>
      <u/>
      <sz val="10"/>
      <color indexed="10"/>
      <name val="Arial"/>
      <family val="2"/>
    </font>
    <font>
      <b/>
      <sz val="11"/>
      <name val="Arial"/>
      <family val="2"/>
    </font>
    <font>
      <sz val="11"/>
      <color theme="1"/>
      <name val="Calibri"/>
      <family val="2"/>
      <scheme val="minor"/>
    </font>
    <font>
      <sz val="11"/>
      <color theme="1"/>
      <name val="Arial"/>
      <family val="2"/>
    </font>
    <font>
      <b/>
      <sz val="10"/>
      <color theme="0"/>
      <name val="Arial"/>
      <family val="2"/>
    </font>
    <font>
      <sz val="10"/>
      <color rgb="FFFF0000"/>
      <name val="Arial"/>
      <family val="2"/>
    </font>
    <font>
      <b/>
      <sz val="10"/>
      <color rgb="FFFF0000"/>
      <name val="Arial"/>
      <family val="2"/>
    </font>
    <font>
      <sz val="10"/>
      <color theme="0"/>
      <name val="CG Times (W1)"/>
    </font>
    <font>
      <sz val="12"/>
      <color theme="0"/>
      <name val="Arial"/>
      <family val="2"/>
    </font>
    <font>
      <b/>
      <sz val="12"/>
      <color theme="0"/>
      <name val="Arial"/>
      <family val="2"/>
    </font>
    <font>
      <b/>
      <sz val="14"/>
      <color theme="0"/>
      <name val="Arial"/>
      <family val="2"/>
    </font>
    <font>
      <i/>
      <sz val="10"/>
      <color rgb="FF0000FF"/>
      <name val="Arial"/>
      <family val="2"/>
    </font>
    <font>
      <b/>
      <sz val="11"/>
      <color rgb="FFFF0000"/>
      <name val="Arial"/>
      <family val="2"/>
    </font>
    <font>
      <b/>
      <sz val="15"/>
      <color rgb="FFFF0000"/>
      <name val="Arial"/>
      <family val="2"/>
    </font>
    <font>
      <sz val="10"/>
      <color theme="0"/>
      <name val="Arial"/>
      <family val="2"/>
    </font>
    <font>
      <sz val="10"/>
      <color rgb="FF0000FF"/>
      <name val="Arial"/>
      <family val="2"/>
    </font>
    <font>
      <b/>
      <sz val="10"/>
      <color rgb="FF0000FF"/>
      <name val="Arial"/>
      <family val="2"/>
    </font>
    <font>
      <sz val="10"/>
      <color rgb="FFFF0000"/>
      <name val="CG Times (W1)"/>
    </font>
    <font>
      <sz val="12"/>
      <color rgb="FFFF0000"/>
      <name val="Arial"/>
      <family val="2"/>
    </font>
    <font>
      <sz val="11"/>
      <color rgb="FFFF0000"/>
      <name val="Arial"/>
      <family val="2"/>
    </font>
    <font>
      <sz val="8"/>
      <color rgb="FFFF0000"/>
      <name val="Arial"/>
      <family val="2"/>
    </font>
    <font>
      <sz val="10"/>
      <color theme="1"/>
      <name val="Arial"/>
      <family val="2"/>
    </font>
    <font>
      <b/>
      <sz val="14"/>
      <color rgb="FFFF0000"/>
      <name val="Arial"/>
      <family val="2"/>
    </font>
    <font>
      <sz val="10"/>
      <color theme="3"/>
      <name val="Arial"/>
      <family val="2"/>
    </font>
    <font>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1"/>
      <name val="Calibri"/>
      <family val="2"/>
    </font>
    <font>
      <sz val="11"/>
      <color theme="0"/>
      <name val="Calibri"/>
      <family val="2"/>
    </font>
    <font>
      <sz val="10"/>
      <color rgb="FF000000"/>
      <name val="CG Times (W1)"/>
    </font>
    <font>
      <b/>
      <strike/>
      <sz val="10"/>
      <name val="Arial"/>
      <family val="2"/>
    </font>
    <font>
      <strike/>
      <sz val="10"/>
      <name val="Arial"/>
      <family val="2"/>
    </font>
    <font>
      <b/>
      <sz val="10"/>
      <color indexed="10"/>
      <name val="Arial"/>
      <family val="2"/>
    </font>
    <font>
      <sz val="10"/>
      <color indexed="9"/>
      <name val="Arial"/>
      <family val="2"/>
    </font>
  </fonts>
  <fills count="50">
    <fill>
      <patternFill patternType="none"/>
    </fill>
    <fill>
      <patternFill patternType="gray125"/>
    </fill>
    <fill>
      <patternFill patternType="solid">
        <fgColor indexed="31"/>
      </patternFill>
    </fill>
    <fill>
      <patternFill patternType="solid">
        <fgColor indexed="62"/>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rgb="FF3333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CCCCFF"/>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style="medium">
        <color indexed="12"/>
      </bottom>
      <diagonal/>
    </border>
    <border>
      <left/>
      <right/>
      <top style="thin">
        <color indexed="23"/>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top/>
      <bottom style="thin">
        <color indexed="12"/>
      </bottom>
      <diagonal/>
    </border>
    <border>
      <left/>
      <right style="thin">
        <color indexed="12"/>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indexed="64"/>
      </left>
      <right style="medium">
        <color indexed="64"/>
      </right>
      <top style="medium">
        <color indexed="64"/>
      </top>
      <bottom style="medium">
        <color indexed="64"/>
      </bottom>
      <diagonal/>
    </border>
    <border>
      <left/>
      <right/>
      <top/>
      <bottom style="thin">
        <color indexed="23"/>
      </bottom>
      <diagonal/>
    </border>
    <border>
      <left style="medium">
        <color indexed="12"/>
      </left>
      <right style="medium">
        <color indexed="12"/>
      </right>
      <top style="medium">
        <color indexed="1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FF0000"/>
      </right>
      <top style="thin">
        <color rgb="FFFF0000"/>
      </top>
      <bottom style="thin">
        <color rgb="FFFF0000"/>
      </bottom>
      <diagonal/>
    </border>
    <border>
      <left/>
      <right/>
      <top/>
      <bottom style="thin">
        <color rgb="FFFF0000"/>
      </bottom>
      <diagonal/>
    </border>
    <border>
      <left style="thin">
        <color rgb="FF0000FF"/>
      </left>
      <right style="thin">
        <color rgb="FF0000FF"/>
      </right>
      <top style="thin">
        <color indexed="64"/>
      </top>
      <bottom style="thin">
        <color rgb="FF0000FF"/>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style="thin">
        <color indexed="12"/>
      </bottom>
      <diagonal/>
    </border>
    <border>
      <left style="thin">
        <color auto="1"/>
      </left>
      <right style="thin">
        <color auto="1"/>
      </right>
      <top style="thin">
        <color indexed="12"/>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4">
    <xf numFmtId="0" fontId="0" fillId="0" borderId="0"/>
    <xf numFmtId="0" fontId="13" fillId="2" borderId="0" applyNumberFormat="0" applyBorder="0" applyAlignment="0" applyProtection="0"/>
    <xf numFmtId="0" fontId="13" fillId="2" borderId="0" applyNumberFormat="0" applyBorder="0" applyAlignment="0" applyProtection="0"/>
    <xf numFmtId="0" fontId="14"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34" fillId="0" borderId="0"/>
    <xf numFmtId="0" fontId="3" fillId="0" borderId="0"/>
    <xf numFmtId="38" fontId="3" fillId="0" borderId="0"/>
    <xf numFmtId="0" fontId="3" fillId="0" borderId="0"/>
    <xf numFmtId="0" fontId="3" fillId="0" borderId="0"/>
    <xf numFmtId="0" fontId="3" fillId="0" borderId="0"/>
    <xf numFmtId="9" fontId="2" fillId="0" borderId="0" applyFont="0" applyFill="0" applyBorder="0" applyAlignment="0" applyProtection="0"/>
    <xf numFmtId="0" fontId="56" fillId="0" borderId="0" applyNumberFormat="0" applyFill="0" applyBorder="0" applyAlignment="0" applyProtection="0"/>
    <xf numFmtId="0" fontId="57" fillId="0" borderId="51" applyNumberFormat="0" applyFill="0" applyAlignment="0" applyProtection="0"/>
    <xf numFmtId="0" fontId="58" fillId="0" borderId="52" applyNumberFormat="0" applyFill="0" applyAlignment="0" applyProtection="0"/>
    <xf numFmtId="0" fontId="59" fillId="0" borderId="53" applyNumberFormat="0" applyFill="0" applyAlignment="0" applyProtection="0"/>
    <xf numFmtId="0" fontId="59" fillId="0" borderId="0" applyNumberFormat="0" applyFill="0" applyBorder="0" applyAlignment="0" applyProtection="0"/>
    <xf numFmtId="0" fontId="60"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3" borderId="54" applyNumberFormat="0" applyAlignment="0" applyProtection="0"/>
    <xf numFmtId="0" fontId="64" fillId="24" borderId="55" applyNumberFormat="0" applyAlignment="0" applyProtection="0"/>
    <xf numFmtId="0" fontId="65" fillId="24" borderId="54" applyNumberFormat="0" applyAlignment="0" applyProtection="0"/>
    <xf numFmtId="0" fontId="66" fillId="0" borderId="56" applyNumberFormat="0" applyFill="0" applyAlignment="0" applyProtection="0"/>
    <xf numFmtId="0" fontId="67" fillId="25" borderId="57" applyNumberFormat="0" applyAlignment="0" applyProtection="0"/>
    <xf numFmtId="0" fontId="68" fillId="0" borderId="0" applyNumberFormat="0" applyFill="0" applyBorder="0" applyAlignment="0" applyProtection="0"/>
    <xf numFmtId="0" fontId="2" fillId="26" borderId="58" applyNumberFormat="0" applyFont="0" applyAlignment="0" applyProtection="0"/>
    <xf numFmtId="0" fontId="69" fillId="0" borderId="0" applyNumberFormat="0" applyFill="0" applyBorder="0" applyAlignment="0" applyProtection="0"/>
    <xf numFmtId="0" fontId="70" fillId="0" borderId="59" applyNumberFormat="0" applyFill="0" applyAlignment="0" applyProtection="0"/>
    <xf numFmtId="0" fontId="71" fillId="27" borderId="0" applyNumberFormat="0" applyBorder="0" applyAlignment="0" applyProtection="0"/>
    <xf numFmtId="0" fontId="72" fillId="28" borderId="0" applyNumberFormat="0" applyBorder="0" applyAlignment="0" applyProtection="0"/>
    <xf numFmtId="0" fontId="72"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72" fillId="32" borderId="0" applyNumberFormat="0" applyBorder="0" applyAlignment="0" applyProtection="0"/>
    <xf numFmtId="0" fontId="72"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2" fillId="48" borderId="0" applyNumberFormat="0" applyBorder="0" applyAlignment="0" applyProtection="0"/>
    <xf numFmtId="0" fontId="1" fillId="0" borderId="0"/>
  </cellStyleXfs>
  <cellXfs count="451">
    <xf numFmtId="0" fontId="0" fillId="0" borderId="0" xfId="0"/>
    <xf numFmtId="38" fontId="3" fillId="0" borderId="0" xfId="9" applyAlignment="1">
      <alignment horizontal="center"/>
    </xf>
    <xf numFmtId="38" fontId="4" fillId="0" borderId="0" xfId="9" applyFont="1" applyAlignment="1">
      <alignment wrapText="1"/>
    </xf>
    <xf numFmtId="38" fontId="3" fillId="0" borderId="0" xfId="9" applyAlignment="1">
      <alignment horizontal="center" wrapText="1"/>
    </xf>
    <xf numFmtId="38" fontId="4" fillId="0" borderId="0" xfId="9" applyFont="1"/>
    <xf numFmtId="0" fontId="5" fillId="0" borderId="0" xfId="0" applyFont="1"/>
    <xf numFmtId="0" fontId="8" fillId="0" borderId="0" xfId="0" applyFont="1"/>
    <xf numFmtId="0" fontId="11" fillId="0" borderId="0" xfId="10" applyFont="1" applyAlignment="1">
      <alignment vertical="top"/>
    </xf>
    <xf numFmtId="0" fontId="5" fillId="0" borderId="0" xfId="0" quotePrefix="1" applyFont="1" applyAlignment="1">
      <alignment horizontal="right" vertical="top"/>
    </xf>
    <xf numFmtId="0" fontId="5" fillId="0" borderId="0" xfId="0" applyFont="1" applyAlignment="1">
      <alignment vertical="top"/>
    </xf>
    <xf numFmtId="0" fontId="3" fillId="0" borderId="0" xfId="0" applyFont="1" applyAlignment="1">
      <alignment vertical="top" wrapText="1"/>
    </xf>
    <xf numFmtId="0" fontId="18" fillId="0" borderId="0" xfId="7" applyFont="1"/>
    <xf numFmtId="14" fontId="18" fillId="0" borderId="0" xfId="7" applyNumberFormat="1" applyFont="1" applyAlignment="1">
      <alignment horizontal="center"/>
    </xf>
    <xf numFmtId="14" fontId="19" fillId="0" borderId="0" xfId="7" applyNumberFormat="1" applyFont="1" applyAlignment="1">
      <alignment horizontal="center"/>
    </xf>
    <xf numFmtId="0" fontId="18" fillId="0" borderId="0" xfId="7" applyFont="1" applyAlignment="1">
      <alignment horizontal="center"/>
    </xf>
    <xf numFmtId="14" fontId="19" fillId="0" borderId="0" xfId="7" applyNumberFormat="1" applyFont="1" applyAlignment="1">
      <alignment horizontal="left"/>
    </xf>
    <xf numFmtId="0" fontId="18" fillId="0" borderId="0" xfId="7" applyFont="1" applyAlignment="1">
      <alignment horizontal="left"/>
    </xf>
    <xf numFmtId="0" fontId="19" fillId="0" borderId="0" xfId="7" applyFont="1" applyAlignment="1">
      <alignment horizontal="left" shrinkToFit="1"/>
    </xf>
    <xf numFmtId="0" fontId="20" fillId="0" borderId="0" xfId="7" applyFont="1" applyAlignment="1">
      <alignment horizontal="center" wrapText="1"/>
    </xf>
    <xf numFmtId="0" fontId="20" fillId="0" borderId="0" xfId="7" applyFont="1" applyAlignment="1">
      <alignment horizontal="center"/>
    </xf>
    <xf numFmtId="14" fontId="18" fillId="0" borderId="0" xfId="7" applyNumberFormat="1" applyFont="1" applyAlignment="1">
      <alignment horizontal="left"/>
    </xf>
    <xf numFmtId="38" fontId="4" fillId="7" borderId="1" xfId="9" applyFont="1" applyFill="1" applyBorder="1"/>
    <xf numFmtId="38" fontId="4" fillId="0" borderId="0" xfId="9" applyFont="1" applyAlignment="1">
      <alignment horizontal="center"/>
    </xf>
    <xf numFmtId="164" fontId="10" fillId="0" borderId="0" xfId="4" applyNumberFormat="1" applyFont="1" applyFill="1" applyBorder="1" applyAlignment="1" applyProtection="1">
      <alignment horizontal="center"/>
    </xf>
    <xf numFmtId="0" fontId="20" fillId="2" borderId="2" xfId="1" applyFont="1" applyBorder="1" applyAlignment="1">
      <alignment horizontal="center" wrapText="1"/>
    </xf>
    <xf numFmtId="164" fontId="3" fillId="0" borderId="0" xfId="4" applyNumberFormat="1" applyFont="1" applyFill="1" applyBorder="1" applyAlignment="1" applyProtection="1">
      <alignment horizontal="right"/>
    </xf>
    <xf numFmtId="38" fontId="3" fillId="0" borderId="2" xfId="9" applyBorder="1" applyAlignment="1">
      <alignment wrapText="1"/>
    </xf>
    <xf numFmtId="38" fontId="3" fillId="0" borderId="2" xfId="9" applyBorder="1" applyAlignment="1">
      <alignment horizontal="center" wrapText="1"/>
    </xf>
    <xf numFmtId="0" fontId="3" fillId="4" borderId="3" xfId="11" applyFill="1" applyBorder="1" applyAlignment="1" applyProtection="1">
      <alignment horizontal="left" wrapText="1" shrinkToFit="1"/>
      <protection locked="0"/>
    </xf>
    <xf numFmtId="0" fontId="20" fillId="2" borderId="2" xfId="1" applyFont="1" applyBorder="1" applyAlignment="1">
      <alignment horizontal="left" wrapText="1"/>
    </xf>
    <xf numFmtId="0" fontId="3" fillId="0" borderId="4" xfId="11" applyBorder="1" applyAlignment="1">
      <alignment horizontal="left"/>
    </xf>
    <xf numFmtId="0" fontId="3" fillId="0" borderId="5" xfId="11" applyBorder="1" applyAlignment="1">
      <alignment horizontal="left"/>
    </xf>
    <xf numFmtId="0" fontId="3" fillId="0" borderId="5" xfId="11" quotePrefix="1" applyBorder="1"/>
    <xf numFmtId="0" fontId="3" fillId="0" borderId="4" xfId="11" quotePrefix="1" applyBorder="1"/>
    <xf numFmtId="0" fontId="3" fillId="0" borderId="5" xfId="11" applyBorder="1" applyAlignment="1">
      <alignment horizontal="left" shrinkToFit="1"/>
    </xf>
    <xf numFmtId="0" fontId="3" fillId="0" borderId="4" xfId="11" applyBorder="1" applyAlignment="1">
      <alignment horizontal="left" shrinkToFit="1"/>
    </xf>
    <xf numFmtId="0" fontId="20" fillId="0" borderId="0" xfId="7" applyFont="1" applyAlignment="1">
      <alignment horizontal="center" shrinkToFit="1"/>
    </xf>
    <xf numFmtId="0" fontId="18" fillId="0" borderId="0" xfId="7" applyFont="1" applyAlignment="1">
      <alignment horizontal="left" shrinkToFit="1"/>
    </xf>
    <xf numFmtId="0" fontId="18" fillId="0" borderId="0" xfId="7" applyFont="1" applyAlignment="1">
      <alignment horizontal="center" shrinkToFit="1"/>
    </xf>
    <xf numFmtId="0" fontId="20" fillId="2" borderId="2" xfId="1" applyFont="1" applyBorder="1" applyAlignment="1">
      <alignment horizontal="left" shrinkToFit="1"/>
    </xf>
    <xf numFmtId="0" fontId="11" fillId="7" borderId="0" xfId="10" applyFont="1" applyFill="1" applyAlignment="1">
      <alignment vertical="top"/>
    </xf>
    <xf numFmtId="0" fontId="5" fillId="8" borderId="0" xfId="0" applyFont="1" applyFill="1"/>
    <xf numFmtId="166" fontId="4" fillId="9" borderId="1" xfId="9" applyNumberFormat="1" applyFont="1" applyFill="1" applyBorder="1"/>
    <xf numFmtId="0" fontId="11" fillId="0" borderId="7" xfId="10" applyFont="1" applyBorder="1" applyAlignment="1">
      <alignment vertical="top"/>
    </xf>
    <xf numFmtId="0" fontId="5" fillId="0" borderId="0" xfId="0" applyFont="1" applyAlignment="1">
      <alignment vertical="top" wrapText="1"/>
    </xf>
    <xf numFmtId="0" fontId="16" fillId="0" borderId="0" xfId="0" applyFont="1" applyAlignment="1" applyProtection="1">
      <alignment vertical="top"/>
      <protection locked="0"/>
    </xf>
    <xf numFmtId="0" fontId="16" fillId="0" borderId="9" xfId="0" applyFont="1" applyBorder="1" applyAlignment="1" applyProtection="1">
      <alignment horizontal="center" vertical="top"/>
      <protection locked="0"/>
    </xf>
    <xf numFmtId="0" fontId="3" fillId="0" borderId="0" xfId="0" applyFont="1"/>
    <xf numFmtId="0" fontId="3" fillId="0" borderId="0" xfId="0" applyFont="1" applyAlignment="1">
      <alignment horizontal="right"/>
    </xf>
    <xf numFmtId="0" fontId="3" fillId="9" borderId="0" xfId="0" applyFont="1" applyFill="1"/>
    <xf numFmtId="168" fontId="3" fillId="0" borderId="0" xfId="0" applyNumberFormat="1" applyFont="1" applyAlignment="1">
      <alignment horizontal="right"/>
    </xf>
    <xf numFmtId="0" fontId="5" fillId="0" borderId="0" xfId="10" quotePrefix="1" applyFont="1" applyAlignment="1">
      <alignment vertical="top" wrapText="1"/>
    </xf>
    <xf numFmtId="0" fontId="5" fillId="0" borderId="0" xfId="10" applyFont="1"/>
    <xf numFmtId="0" fontId="35" fillId="0" borderId="0" xfId="7" applyFont="1" applyAlignment="1">
      <alignment shrinkToFit="1"/>
    </xf>
    <xf numFmtId="0" fontId="3" fillId="0" borderId="0" xfId="11"/>
    <xf numFmtId="0" fontId="24" fillId="0" borderId="10" xfId="7" applyFont="1" applyBorder="1" applyAlignment="1">
      <alignment wrapText="1"/>
    </xf>
    <xf numFmtId="169" fontId="3" fillId="4" borderId="5" xfId="11" applyNumberFormat="1" applyFill="1" applyBorder="1" applyAlignment="1" applyProtection="1">
      <alignment horizontal="left" shrinkToFit="1"/>
      <protection locked="0"/>
    </xf>
    <xf numFmtId="0" fontId="35" fillId="0" borderId="5" xfId="7" quotePrefix="1" applyFont="1" applyBorder="1" applyAlignment="1">
      <alignment horizontal="left"/>
    </xf>
    <xf numFmtId="0" fontId="3" fillId="0" borderId="11" xfId="11" applyBorder="1" applyAlignment="1">
      <alignment horizontal="left"/>
    </xf>
    <xf numFmtId="14" fontId="3" fillId="0" borderId="5" xfId="11" applyNumberFormat="1" applyBorder="1" applyAlignment="1">
      <alignment horizontal="left"/>
    </xf>
    <xf numFmtId="0" fontId="3" fillId="0" borderId="5" xfId="11" applyBorder="1" applyAlignment="1">
      <alignment horizontal="center" shrinkToFit="1"/>
    </xf>
    <xf numFmtId="169" fontId="3" fillId="4" borderId="4" xfId="11" applyNumberFormat="1" applyFill="1" applyBorder="1" applyAlignment="1" applyProtection="1">
      <alignment horizontal="left" shrinkToFit="1"/>
      <protection locked="0"/>
    </xf>
    <xf numFmtId="0" fontId="35" fillId="0" borderId="4" xfId="7" quotePrefix="1" applyFont="1" applyBorder="1" applyAlignment="1">
      <alignment horizontal="left"/>
    </xf>
    <xf numFmtId="0" fontId="3" fillId="0" borderId="12" xfId="11" applyBorder="1" applyAlignment="1">
      <alignment horizontal="left"/>
    </xf>
    <xf numFmtId="14" fontId="3" fillId="0" borderId="4" xfId="11" applyNumberFormat="1" applyBorder="1" applyAlignment="1">
      <alignment horizontal="left"/>
    </xf>
    <xf numFmtId="0" fontId="3" fillId="0" borderId="4" xfId="11" applyBorder="1" applyAlignment="1">
      <alignment horizontal="center" shrinkToFit="1"/>
    </xf>
    <xf numFmtId="14" fontId="3" fillId="0" borderId="12" xfId="11" applyNumberFormat="1" applyBorder="1" applyAlignment="1">
      <alignment horizontal="left"/>
    </xf>
    <xf numFmtId="42" fontId="3" fillId="0" borderId="4" xfId="11" applyNumberFormat="1" applyBorder="1" applyAlignment="1">
      <alignment horizontal="center" shrinkToFit="1"/>
    </xf>
    <xf numFmtId="0" fontId="3" fillId="0" borderId="0" xfId="11" applyAlignment="1">
      <alignment horizontal="left"/>
    </xf>
    <xf numFmtId="0" fontId="3" fillId="0" borderId="0" xfId="11" applyAlignment="1">
      <alignment horizontal="center" shrinkToFit="1"/>
    </xf>
    <xf numFmtId="0" fontId="3" fillId="9" borderId="0" xfId="6" applyFill="1"/>
    <xf numFmtId="0" fontId="25" fillId="10" borderId="13" xfId="3" applyFont="1" applyFill="1" applyBorder="1"/>
    <xf numFmtId="0" fontId="3" fillId="9" borderId="0" xfId="6" applyFill="1" applyAlignment="1">
      <alignment vertical="top"/>
    </xf>
    <xf numFmtId="0" fontId="3" fillId="0" borderId="14" xfId="0" applyFont="1" applyBorder="1" applyProtection="1">
      <protection locked="0"/>
    </xf>
    <xf numFmtId="0" fontId="3" fillId="9" borderId="0" xfId="6" applyFill="1" applyAlignment="1">
      <alignment horizontal="right" vertical="top"/>
    </xf>
    <xf numFmtId="0" fontId="4" fillId="9" borderId="0" xfId="6" applyFont="1" applyFill="1" applyAlignment="1">
      <alignment horizontal="center" vertical="top"/>
    </xf>
    <xf numFmtId="0" fontId="3" fillId="9" borderId="0" xfId="6" applyFill="1" applyAlignment="1">
      <alignment horizontal="center" vertical="top"/>
    </xf>
    <xf numFmtId="0" fontId="36" fillId="11" borderId="0" xfId="0" applyFont="1" applyFill="1"/>
    <xf numFmtId="0" fontId="4" fillId="9" borderId="0" xfId="6" applyFont="1" applyFill="1" applyAlignment="1">
      <alignment horizontal="center"/>
    </xf>
    <xf numFmtId="0" fontId="25" fillId="10" borderId="13" xfId="3" applyFont="1" applyFill="1" applyBorder="1" applyProtection="1"/>
    <xf numFmtId="0" fontId="25" fillId="0" borderId="0" xfId="3" applyFont="1" applyFill="1" applyBorder="1" applyProtection="1"/>
    <xf numFmtId="0" fontId="3" fillId="0" borderId="0" xfId="6"/>
    <xf numFmtId="170" fontId="3" fillId="9" borderId="0" xfId="6" applyNumberFormat="1" applyFill="1" applyAlignment="1">
      <alignment horizontal="right" vertical="top"/>
    </xf>
    <xf numFmtId="0" fontId="3" fillId="9" borderId="0" xfId="6" applyFill="1" applyAlignment="1">
      <alignment vertical="top" wrapText="1"/>
    </xf>
    <xf numFmtId="0" fontId="3" fillId="9" borderId="0" xfId="0" applyFont="1" applyFill="1" applyAlignment="1">
      <alignment horizontal="center"/>
    </xf>
    <xf numFmtId="0" fontId="20" fillId="12" borderId="2" xfId="1" applyFont="1" applyFill="1" applyBorder="1" applyAlignment="1" applyProtection="1">
      <alignment horizontal="center" wrapText="1"/>
    </xf>
    <xf numFmtId="0" fontId="0" fillId="9" borderId="0" xfId="0" applyFill="1"/>
    <xf numFmtId="0" fontId="3" fillId="9" borderId="0" xfId="0" applyFont="1" applyFill="1" applyAlignment="1">
      <alignment vertical="top"/>
    </xf>
    <xf numFmtId="0" fontId="37" fillId="0" borderId="0" xfId="0" applyFont="1"/>
    <xf numFmtId="0" fontId="3" fillId="0" borderId="0" xfId="6" applyAlignment="1">
      <alignment horizontal="right" vertical="top"/>
    </xf>
    <xf numFmtId="0" fontId="3" fillId="9" borderId="0" xfId="0" applyFont="1" applyFill="1" applyAlignment="1">
      <alignment horizontal="center" vertical="top"/>
    </xf>
    <xf numFmtId="0" fontId="3" fillId="0" borderId="0" xfId="0" applyFont="1" applyAlignment="1">
      <alignment horizontal="left" wrapText="1"/>
    </xf>
    <xf numFmtId="0" fontId="4" fillId="0" borderId="0" xfId="0" applyFont="1" applyAlignment="1">
      <alignment horizontal="left"/>
    </xf>
    <xf numFmtId="1" fontId="3" fillId="0" borderId="1" xfId="4" applyNumberFormat="1" applyFont="1" applyFill="1" applyBorder="1" applyAlignment="1" applyProtection="1">
      <alignment horizontal="left" vertical="top"/>
    </xf>
    <xf numFmtId="0" fontId="38" fillId="9" borderId="0" xfId="0" applyFont="1" applyFill="1"/>
    <xf numFmtId="0" fontId="3" fillId="9" borderId="0" xfId="12" applyFill="1" applyAlignment="1">
      <alignment horizontal="left" vertical="top" shrinkToFit="1"/>
    </xf>
    <xf numFmtId="41" fontId="3" fillId="9" borderId="0" xfId="12" applyNumberFormat="1" applyFill="1" applyAlignment="1">
      <alignment shrinkToFit="1"/>
    </xf>
    <xf numFmtId="0" fontId="3" fillId="0" borderId="0" xfId="8" applyAlignment="1">
      <alignment horizontal="left" vertical="top"/>
    </xf>
    <xf numFmtId="0" fontId="26" fillId="0" borderId="0" xfId="8" applyFont="1" applyAlignment="1">
      <alignment horizontal="left" vertical="top"/>
    </xf>
    <xf numFmtId="14" fontId="3" fillId="0" borderId="0" xfId="0" applyNumberFormat="1" applyFont="1" applyAlignment="1">
      <alignment horizontal="left"/>
    </xf>
    <xf numFmtId="0" fontId="11" fillId="8" borderId="0" xfId="0" applyFont="1" applyFill="1"/>
    <xf numFmtId="0" fontId="23" fillId="8" borderId="0" xfId="0" applyFont="1" applyFill="1" applyAlignment="1">
      <alignment horizontal="right"/>
    </xf>
    <xf numFmtId="0" fontId="11" fillId="8" borderId="0" xfId="0" applyFont="1" applyFill="1" applyAlignment="1">
      <alignment horizontal="right"/>
    </xf>
    <xf numFmtId="0" fontId="5" fillId="9" borderId="0" xfId="0" applyFont="1" applyFill="1"/>
    <xf numFmtId="0" fontId="5" fillId="0" borderId="0" xfId="0" applyFont="1" applyAlignment="1">
      <alignment horizontal="left" vertical="top"/>
    </xf>
    <xf numFmtId="0" fontId="20" fillId="2" borderId="0" xfId="1" applyFont="1" applyBorder="1" applyAlignment="1" applyProtection="1">
      <alignment horizontal="center" wrapText="1"/>
    </xf>
    <xf numFmtId="0" fontId="3" fillId="0" borderId="0" xfId="0" applyFont="1" applyAlignment="1">
      <alignment horizontal="left" vertical="top"/>
    </xf>
    <xf numFmtId="0" fontId="3" fillId="0" borderId="0" xfId="0" quotePrefix="1" applyFont="1" applyAlignment="1">
      <alignment horizontal="right"/>
    </xf>
    <xf numFmtId="0" fontId="3" fillId="0" borderId="0" xfId="0" applyFont="1" applyAlignment="1">
      <alignment horizontal="left"/>
    </xf>
    <xf numFmtId="0" fontId="4" fillId="0" borderId="0" xfId="0" applyFont="1" applyAlignment="1">
      <alignment horizontal="right"/>
    </xf>
    <xf numFmtId="165" fontId="3" fillId="0" borderId="0" xfId="0" applyNumberFormat="1" applyFont="1" applyAlignment="1">
      <alignment horizontal="right"/>
    </xf>
    <xf numFmtId="0" fontId="6" fillId="13" borderId="0" xfId="0" applyFont="1" applyFill="1"/>
    <xf numFmtId="0" fontId="3" fillId="13" borderId="0" xfId="0" applyFont="1" applyFill="1"/>
    <xf numFmtId="0" fontId="6" fillId="9" borderId="0" xfId="0" applyFont="1" applyFill="1"/>
    <xf numFmtId="0" fontId="20" fillId="2" borderId="2" xfId="1" applyFont="1" applyBorder="1" applyAlignment="1" applyProtection="1">
      <alignment horizontal="center" wrapText="1"/>
    </xf>
    <xf numFmtId="0" fontId="3" fillId="0" borderId="0" xfId="0" applyFont="1" applyAlignment="1">
      <alignment shrinkToFit="1"/>
    </xf>
    <xf numFmtId="0" fontId="4" fillId="0" borderId="0" xfId="0" applyFont="1" applyAlignment="1">
      <alignment shrinkToFit="1"/>
    </xf>
    <xf numFmtId="0" fontId="3" fillId="0" borderId="0" xfId="0" applyFont="1" applyAlignment="1">
      <alignment horizontal="center"/>
    </xf>
    <xf numFmtId="0" fontId="3" fillId="0" borderId="15" xfId="0" applyFont="1" applyBorder="1" applyAlignment="1">
      <alignment horizontal="left"/>
    </xf>
    <xf numFmtId="0" fontId="3" fillId="0" borderId="16" xfId="0" applyFont="1" applyBorder="1"/>
    <xf numFmtId="164" fontId="3" fillId="0" borderId="0" xfId="4" applyNumberFormat="1" applyFont="1" applyFill="1" applyAlignment="1" applyProtection="1">
      <alignment horizontal="right"/>
    </xf>
    <xf numFmtId="1" fontId="3" fillId="0" borderId="0" xfId="4" applyNumberFormat="1" applyFont="1" applyFill="1" applyBorder="1" applyAlignment="1" applyProtection="1">
      <alignment horizontal="left"/>
    </xf>
    <xf numFmtId="0" fontId="6" fillId="0" borderId="0" xfId="0" applyFont="1" applyAlignment="1">
      <alignment horizontal="left"/>
    </xf>
    <xf numFmtId="0" fontId="20" fillId="2" borderId="2" xfId="1" applyNumberFormat="1" applyFont="1" applyBorder="1" applyAlignment="1" applyProtection="1">
      <alignment horizontal="center" wrapText="1"/>
    </xf>
    <xf numFmtId="170" fontId="3" fillId="0" borderId="0" xfId="0" quotePrefix="1" applyNumberFormat="1" applyFont="1" applyAlignment="1">
      <alignment horizontal="right"/>
    </xf>
    <xf numFmtId="0" fontId="3" fillId="0" borderId="0" xfId="0" quotePrefix="1" applyFont="1"/>
    <xf numFmtId="164" fontId="3" fillId="0" borderId="0" xfId="4" applyNumberFormat="1" applyFont="1" applyFill="1" applyProtection="1"/>
    <xf numFmtId="164" fontId="3" fillId="0" borderId="0" xfId="4" applyNumberFormat="1" applyFont="1" applyFill="1" applyBorder="1" applyProtection="1"/>
    <xf numFmtId="0" fontId="11" fillId="8" borderId="0" xfId="0" applyFont="1" applyFill="1" applyAlignment="1">
      <alignment horizontal="center"/>
    </xf>
    <xf numFmtId="0" fontId="11" fillId="9" borderId="0" xfId="0" applyFont="1" applyFill="1" applyAlignment="1">
      <alignment horizontal="center"/>
    </xf>
    <xf numFmtId="42" fontId="9" fillId="0" borderId="0" xfId="0" applyNumberFormat="1" applyFont="1" applyAlignment="1">
      <alignment shrinkToFit="1"/>
    </xf>
    <xf numFmtId="0" fontId="7" fillId="0" borderId="0" xfId="0" applyFont="1" applyAlignment="1">
      <alignment horizontal="left"/>
    </xf>
    <xf numFmtId="0" fontId="6" fillId="0" borderId="0" xfId="0" applyFont="1"/>
    <xf numFmtId="0" fontId="4" fillId="0" borderId="0" xfId="0" applyFont="1"/>
    <xf numFmtId="0" fontId="3" fillId="0" borderId="2" xfId="0" applyFont="1" applyBorder="1"/>
    <xf numFmtId="0" fontId="3" fillId="0" borderId="1" xfId="0" applyFont="1" applyBorder="1"/>
    <xf numFmtId="0" fontId="3" fillId="0" borderId="34" xfId="0" applyFont="1" applyBorder="1" applyAlignment="1">
      <alignment horizontal="left"/>
    </xf>
    <xf numFmtId="0" fontId="3" fillId="0" borderId="35" xfId="0" applyFont="1" applyBorder="1"/>
    <xf numFmtId="170" fontId="3" fillId="0" borderId="0" xfId="0" quotePrefix="1" applyNumberFormat="1" applyFont="1"/>
    <xf numFmtId="170" fontId="3" fillId="9" borderId="0" xfId="0" applyNumberFormat="1" applyFont="1" applyFill="1"/>
    <xf numFmtId="0" fontId="3" fillId="9" borderId="2" xfId="0" applyFont="1" applyFill="1" applyBorder="1"/>
    <xf numFmtId="0" fontId="35" fillId="0" borderId="4" xfId="7" applyFont="1" applyBorder="1" applyAlignment="1">
      <alignment horizontal="left"/>
    </xf>
    <xf numFmtId="38" fontId="3" fillId="0" borderId="0" xfId="9"/>
    <xf numFmtId="165" fontId="3" fillId="0" borderId="0" xfId="9" applyNumberFormat="1"/>
    <xf numFmtId="38" fontId="3" fillId="9" borderId="0" xfId="9" applyFill="1" applyAlignment="1">
      <alignment horizontal="center" vertical="top" wrapText="1"/>
    </xf>
    <xf numFmtId="165" fontId="3" fillId="0" borderId="7" xfId="9" applyNumberFormat="1" applyBorder="1"/>
    <xf numFmtId="38" fontId="3" fillId="0" borderId="7" xfId="9" applyBorder="1"/>
    <xf numFmtId="38" fontId="3" fillId="0" borderId="17" xfId="9" applyBorder="1"/>
    <xf numFmtId="0" fontId="3" fillId="0" borderId="0" xfId="9" applyNumberFormat="1" applyAlignment="1">
      <alignment horizontal="center"/>
    </xf>
    <xf numFmtId="38" fontId="3" fillId="0" borderId="0" xfId="9" applyAlignment="1">
      <alignment wrapText="1"/>
    </xf>
    <xf numFmtId="165" fontId="3" fillId="5" borderId="2" xfId="9" applyNumberFormat="1" applyFill="1" applyBorder="1" applyAlignment="1">
      <alignment horizontal="center" wrapText="1"/>
    </xf>
    <xf numFmtId="165" fontId="3" fillId="6" borderId="2" xfId="9" applyNumberFormat="1" applyFill="1" applyBorder="1" applyAlignment="1">
      <alignment horizontal="center" wrapText="1"/>
    </xf>
    <xf numFmtId="165" fontId="3" fillId="5" borderId="0" xfId="9" applyNumberFormat="1" applyFill="1" applyAlignment="1">
      <alignment horizontal="center" wrapText="1"/>
    </xf>
    <xf numFmtId="165" fontId="3" fillId="6" borderId="0" xfId="9" applyNumberFormat="1" applyFill="1" applyAlignment="1">
      <alignment horizontal="center" wrapText="1"/>
    </xf>
    <xf numFmtId="14" fontId="3" fillId="0" borderId="0" xfId="0" applyNumberFormat="1" applyFont="1" applyAlignment="1">
      <alignment horizontal="right"/>
    </xf>
    <xf numFmtId="0" fontId="27" fillId="0" borderId="0" xfId="8" applyFont="1" applyAlignment="1">
      <alignment horizontal="left" vertical="center" wrapText="1"/>
    </xf>
    <xf numFmtId="0" fontId="6" fillId="9" borderId="0" xfId="6" applyFont="1" applyFill="1"/>
    <xf numFmtId="0" fontId="38" fillId="9" borderId="0" xfId="6" applyFont="1" applyFill="1" applyAlignment="1">
      <alignment vertical="top"/>
    </xf>
    <xf numFmtId="0" fontId="37" fillId="0" borderId="36" xfId="0" applyFont="1" applyBorder="1" applyAlignment="1" applyProtection="1">
      <alignment horizontal="center" shrinkToFit="1"/>
      <protection locked="0"/>
    </xf>
    <xf numFmtId="38" fontId="38" fillId="0" borderId="0" xfId="9" applyFont="1"/>
    <xf numFmtId="0" fontId="11" fillId="0" borderId="0" xfId="10" applyFont="1"/>
    <xf numFmtId="14" fontId="3" fillId="0" borderId="4" xfId="11" applyNumberFormat="1" applyBorder="1" applyAlignment="1">
      <alignment horizontal="center" shrinkToFit="1"/>
    </xf>
    <xf numFmtId="14" fontId="3" fillId="0" borderId="4" xfId="11" applyNumberFormat="1" applyBorder="1" applyAlignment="1">
      <alignment horizontal="center"/>
    </xf>
    <xf numFmtId="0" fontId="11" fillId="0" borderId="0" xfId="0" applyFont="1"/>
    <xf numFmtId="0" fontId="11" fillId="0" borderId="0" xfId="0" applyFont="1" applyAlignment="1">
      <alignment horizontal="center"/>
    </xf>
    <xf numFmtId="0" fontId="3" fillId="0" borderId="0" xfId="0" applyFont="1" applyAlignment="1">
      <alignment wrapText="1"/>
    </xf>
    <xf numFmtId="0" fontId="20" fillId="0" borderId="0" xfId="1" applyNumberFormat="1" applyFont="1" applyFill="1" applyBorder="1" applyAlignment="1" applyProtection="1">
      <alignment horizontal="center" wrapText="1"/>
    </xf>
    <xf numFmtId="14" fontId="9" fillId="0" borderId="0" xfId="4" applyNumberFormat="1" applyFont="1" applyFill="1" applyBorder="1" applyAlignment="1" applyProtection="1">
      <alignment horizontal="center"/>
      <protection locked="0"/>
    </xf>
    <xf numFmtId="0" fontId="3" fillId="0" borderId="0" xfId="0" applyFont="1" applyAlignment="1">
      <alignment vertical="center"/>
    </xf>
    <xf numFmtId="0" fontId="3" fillId="0" borderId="0" xfId="0" quotePrefix="1" applyFont="1" applyAlignment="1">
      <alignment horizontal="right" vertical="center"/>
    </xf>
    <xf numFmtId="0" fontId="11" fillId="0" borderId="0" xfId="0" applyFont="1" applyAlignment="1">
      <alignment vertical="center"/>
    </xf>
    <xf numFmtId="0" fontId="39" fillId="14" borderId="0" xfId="0" applyFont="1" applyFill="1"/>
    <xf numFmtId="0" fontId="40" fillId="15" borderId="0" xfId="0" applyFont="1" applyFill="1"/>
    <xf numFmtId="0" fontId="41" fillId="15" borderId="0" xfId="0" applyFont="1" applyFill="1" applyAlignment="1">
      <alignment horizontal="center"/>
    </xf>
    <xf numFmtId="0" fontId="36" fillId="15" borderId="0" xfId="0" applyFont="1" applyFill="1"/>
    <xf numFmtId="0" fontId="0" fillId="0" borderId="0" xfId="0" applyAlignment="1">
      <alignment horizontal="left"/>
    </xf>
    <xf numFmtId="14" fontId="9" fillId="0" borderId="0" xfId="4" applyNumberFormat="1" applyFont="1" applyFill="1" applyBorder="1" applyAlignment="1" applyProtection="1">
      <alignment horizontal="left"/>
      <protection locked="0"/>
    </xf>
    <xf numFmtId="0" fontId="3" fillId="0" borderId="37" xfId="0" applyFont="1" applyBorder="1" applyAlignment="1">
      <alignment horizontal="left"/>
    </xf>
    <xf numFmtId="0" fontId="3" fillId="0" borderId="38" xfId="0" applyFont="1" applyBorder="1"/>
    <xf numFmtId="165" fontId="3" fillId="16" borderId="2" xfId="9" applyNumberFormat="1" applyFill="1" applyBorder="1" applyAlignment="1">
      <alignment horizontal="center" wrapText="1"/>
    </xf>
    <xf numFmtId="165" fontId="3" fillId="16" borderId="0" xfId="9" applyNumberFormat="1" applyFill="1" applyAlignment="1">
      <alignment horizontal="center" wrapText="1"/>
    </xf>
    <xf numFmtId="0" fontId="6" fillId="0" borderId="0" xfId="0" applyFont="1" applyAlignment="1">
      <alignment wrapText="1"/>
    </xf>
    <xf numFmtId="0" fontId="3" fillId="0" borderId="39" xfId="0" applyFont="1" applyBorder="1" applyAlignment="1">
      <alignment horizontal="left"/>
    </xf>
    <xf numFmtId="0" fontId="3" fillId="0" borderId="40" xfId="0" applyFont="1" applyBorder="1"/>
    <xf numFmtId="1" fontId="38" fillId="0" borderId="0" xfId="4" applyNumberFormat="1" applyFont="1" applyFill="1" applyBorder="1" applyAlignment="1" applyProtection="1">
      <alignment horizontal="left"/>
    </xf>
    <xf numFmtId="0" fontId="29" fillId="0" borderId="0" xfId="0" applyFont="1"/>
    <xf numFmtId="38" fontId="3" fillId="0" borderId="0" xfId="9" applyAlignment="1">
      <alignment horizontal="left"/>
    </xf>
    <xf numFmtId="14" fontId="3" fillId="0" borderId="0" xfId="9" applyNumberFormat="1" applyAlignment="1">
      <alignment horizontal="right"/>
    </xf>
    <xf numFmtId="38" fontId="3" fillId="0" borderId="0" xfId="9" applyAlignment="1">
      <alignment horizontal="right"/>
    </xf>
    <xf numFmtId="0" fontId="3" fillId="0" borderId="0" xfId="9" applyNumberFormat="1" applyAlignment="1">
      <alignment horizontal="left"/>
    </xf>
    <xf numFmtId="0" fontId="42" fillId="14" borderId="0" xfId="0" applyFont="1" applyFill="1"/>
    <xf numFmtId="0" fontId="41" fillId="15" borderId="0" xfId="0" applyFont="1" applyFill="1"/>
    <xf numFmtId="0" fontId="31" fillId="0" borderId="0" xfId="0" applyFont="1"/>
    <xf numFmtId="0" fontId="0" fillId="0" borderId="0" xfId="0" applyAlignment="1">
      <alignment horizontal="right"/>
    </xf>
    <xf numFmtId="0" fontId="3" fillId="17" borderId="0" xfId="0" applyFont="1" applyFill="1"/>
    <xf numFmtId="0" fontId="43" fillId="0" borderId="0" xfId="0" applyFont="1"/>
    <xf numFmtId="0" fontId="36" fillId="0" borderId="0" xfId="0" applyFont="1"/>
    <xf numFmtId="0" fontId="40" fillId="0" borderId="0" xfId="0" applyFont="1"/>
    <xf numFmtId="0" fontId="41" fillId="0" borderId="0" xfId="0" applyFont="1" applyAlignment="1">
      <alignment horizontal="center"/>
    </xf>
    <xf numFmtId="0" fontId="4" fillId="18" borderId="2" xfId="0" applyFont="1" applyFill="1" applyBorder="1" applyAlignment="1">
      <alignment horizontal="center"/>
    </xf>
    <xf numFmtId="0" fontId="44" fillId="0" borderId="0" xfId="0" applyFont="1"/>
    <xf numFmtId="0" fontId="4" fillId="8" borderId="0" xfId="0" applyFont="1" applyFill="1" applyAlignment="1">
      <alignment vertical="top"/>
    </xf>
    <xf numFmtId="0" fontId="6" fillId="8" borderId="0" xfId="0" applyFont="1" applyFill="1" applyAlignment="1">
      <alignment horizontal="right" vertical="top"/>
    </xf>
    <xf numFmtId="0" fontId="20" fillId="2" borderId="0" xfId="2" applyFont="1" applyBorder="1" applyAlignment="1" applyProtection="1">
      <alignment horizontal="center" vertical="top" wrapText="1"/>
    </xf>
    <xf numFmtId="0" fontId="3" fillId="8" borderId="0" xfId="0" applyFont="1" applyFill="1" applyAlignment="1">
      <alignment vertical="top"/>
    </xf>
    <xf numFmtId="0" fontId="3" fillId="0" borderId="41" xfId="0" applyFont="1" applyBorder="1"/>
    <xf numFmtId="164" fontId="3" fillId="9" borderId="0" xfId="5" applyNumberFormat="1" applyFont="1" applyFill="1" applyAlignment="1" applyProtection="1">
      <alignment vertical="top"/>
    </xf>
    <xf numFmtId="0" fontId="38" fillId="9" borderId="0" xfId="0" applyFont="1" applyFill="1" applyAlignment="1">
      <alignment vertical="top"/>
    </xf>
    <xf numFmtId="0" fontId="33" fillId="0" borderId="0" xfId="0" applyFont="1"/>
    <xf numFmtId="0" fontId="3" fillId="0" borderId="1" xfId="0" applyFont="1" applyBorder="1" applyAlignment="1">
      <alignment horizontal="left"/>
    </xf>
    <xf numFmtId="0" fontId="3" fillId="0" borderId="22" xfId="0" applyFont="1" applyBorder="1" applyAlignment="1">
      <alignment horizontal="left"/>
    </xf>
    <xf numFmtId="0" fontId="3" fillId="0" borderId="23" xfId="0" applyFont="1" applyBorder="1"/>
    <xf numFmtId="0" fontId="3" fillId="0" borderId="24" xfId="0" applyFont="1" applyBorder="1"/>
    <xf numFmtId="49" fontId="3" fillId="0" borderId="0" xfId="0" quotePrefix="1" applyNumberFormat="1" applyFont="1" applyAlignment="1">
      <alignment horizontal="center"/>
    </xf>
    <xf numFmtId="0" fontId="45" fillId="0" borderId="0" xfId="0" applyFont="1"/>
    <xf numFmtId="170" fontId="3" fillId="9" borderId="0" xfId="0" applyNumberFormat="1" applyFont="1" applyFill="1" applyAlignment="1">
      <alignment horizontal="center" vertical="top"/>
    </xf>
    <xf numFmtId="38" fontId="4" fillId="7" borderId="1" xfId="9" applyFont="1" applyFill="1" applyBorder="1" applyProtection="1">
      <protection locked="0"/>
    </xf>
    <xf numFmtId="10" fontId="4" fillId="7" borderId="1" xfId="13" applyNumberFormat="1" applyFont="1" applyFill="1" applyBorder="1" applyAlignment="1" applyProtection="1">
      <protection locked="0"/>
    </xf>
    <xf numFmtId="0" fontId="46" fillId="0" borderId="0" xfId="9" applyNumberFormat="1" applyFont="1"/>
    <xf numFmtId="0" fontId="38" fillId="0" borderId="0" xfId="0" applyFont="1"/>
    <xf numFmtId="0" fontId="49" fillId="19" borderId="0" xfId="0" applyFont="1" applyFill="1"/>
    <xf numFmtId="0" fontId="49" fillId="19" borderId="0" xfId="0" applyFont="1" applyFill="1" applyAlignment="1">
      <alignment horizontal="left"/>
    </xf>
    <xf numFmtId="0" fontId="3" fillId="19" borderId="0" xfId="0" applyFont="1" applyFill="1"/>
    <xf numFmtId="0" fontId="37" fillId="19" borderId="0" xfId="0" applyFont="1" applyFill="1"/>
    <xf numFmtId="0" fontId="50" fillId="19" borderId="0" xfId="0" applyFont="1" applyFill="1"/>
    <xf numFmtId="0" fontId="37" fillId="19" borderId="0" xfId="0" quotePrefix="1" applyFont="1" applyFill="1" applyAlignment="1">
      <alignment horizontal="right"/>
    </xf>
    <xf numFmtId="0" fontId="37" fillId="19" borderId="0" xfId="0" applyFont="1" applyFill="1" applyAlignment="1">
      <alignment horizontal="left"/>
    </xf>
    <xf numFmtId="168" fontId="37" fillId="19" borderId="0" xfId="0" applyNumberFormat="1" applyFont="1" applyFill="1" applyAlignment="1">
      <alignment horizontal="right"/>
    </xf>
    <xf numFmtId="0" fontId="38" fillId="19" borderId="0" xfId="0" applyFont="1" applyFill="1" applyAlignment="1">
      <alignment horizontal="right"/>
    </xf>
    <xf numFmtId="165" fontId="37" fillId="19" borderId="0" xfId="0" applyNumberFormat="1" applyFont="1" applyFill="1" applyAlignment="1">
      <alignment horizontal="right"/>
    </xf>
    <xf numFmtId="0" fontId="38" fillId="19" borderId="0" xfId="0" applyFont="1" applyFill="1" applyAlignment="1">
      <alignment shrinkToFit="1"/>
    </xf>
    <xf numFmtId="0" fontId="20" fillId="2" borderId="14" xfId="1" applyFont="1" applyBorder="1" applyAlignment="1" applyProtection="1">
      <alignment horizontal="centerContinuous" wrapText="1"/>
    </xf>
    <xf numFmtId="164" fontId="37" fillId="19" borderId="0" xfId="4" applyNumberFormat="1" applyFont="1" applyFill="1" applyAlignment="1" applyProtection="1">
      <alignment horizontal="right"/>
    </xf>
    <xf numFmtId="0" fontId="37" fillId="19" borderId="0" xfId="0" applyFont="1" applyFill="1" applyAlignment="1">
      <alignment horizontal="right"/>
    </xf>
    <xf numFmtId="164" fontId="37" fillId="19" borderId="0" xfId="4" applyNumberFormat="1" applyFont="1" applyFill="1" applyProtection="1"/>
    <xf numFmtId="164" fontId="37" fillId="19" borderId="0" xfId="4" applyNumberFormat="1" applyFont="1" applyFill="1" applyBorder="1" applyProtection="1"/>
    <xf numFmtId="0" fontId="38" fillId="19" borderId="0" xfId="0" applyFont="1" applyFill="1"/>
    <xf numFmtId="168" fontId="37" fillId="19" borderId="0" xfId="0" applyNumberFormat="1" applyFont="1" applyFill="1" applyAlignment="1">
      <alignment horizontal="left"/>
    </xf>
    <xf numFmtId="165" fontId="37" fillId="19" borderId="0" xfId="0" applyNumberFormat="1" applyFont="1" applyFill="1" applyAlignment="1">
      <alignment horizontal="left"/>
    </xf>
    <xf numFmtId="0" fontId="37" fillId="19" borderId="0" xfId="0" applyFont="1" applyFill="1" applyAlignment="1" applyProtection="1">
      <alignment horizontal="center" shrinkToFit="1"/>
      <protection locked="0"/>
    </xf>
    <xf numFmtId="0" fontId="20" fillId="2" borderId="0" xfId="1" applyFont="1" applyBorder="1" applyAlignment="1" applyProtection="1">
      <alignment horizontal="centerContinuous" wrapText="1"/>
    </xf>
    <xf numFmtId="1" fontId="37" fillId="19" borderId="0" xfId="4" applyNumberFormat="1" applyFont="1" applyFill="1" applyBorder="1" applyAlignment="1" applyProtection="1">
      <alignment horizontal="left"/>
    </xf>
    <xf numFmtId="170" fontId="37" fillId="19" borderId="0" xfId="0" quotePrefix="1" applyNumberFormat="1" applyFont="1" applyFill="1" applyAlignment="1">
      <alignment horizontal="right"/>
    </xf>
    <xf numFmtId="0" fontId="44" fillId="19" borderId="0" xfId="0" applyFont="1" applyFill="1"/>
    <xf numFmtId="0" fontId="0" fillId="0" borderId="14" xfId="0" applyBorder="1"/>
    <xf numFmtId="14" fontId="0" fillId="0" borderId="0" xfId="0" applyNumberFormat="1"/>
    <xf numFmtId="0" fontId="37" fillId="19" borderId="0" xfId="6" applyFont="1" applyFill="1"/>
    <xf numFmtId="0" fontId="37" fillId="19" borderId="0" xfId="6" applyFont="1" applyFill="1" applyAlignment="1">
      <alignment vertical="top"/>
    </xf>
    <xf numFmtId="0" fontId="37" fillId="19" borderId="0" xfId="6" applyFont="1" applyFill="1" applyAlignment="1">
      <alignment vertical="top" wrapText="1"/>
    </xf>
    <xf numFmtId="0" fontId="44" fillId="19" borderId="29" xfId="0" applyFont="1" applyFill="1" applyBorder="1" applyAlignment="1">
      <alignment horizontal="left" vertical="center" wrapText="1"/>
    </xf>
    <xf numFmtId="0" fontId="51" fillId="19" borderId="29" xfId="0" applyFont="1" applyFill="1" applyBorder="1" applyAlignment="1">
      <alignment horizontal="left" vertical="center" wrapText="1"/>
    </xf>
    <xf numFmtId="170" fontId="37" fillId="19" borderId="0" xfId="6" applyNumberFormat="1" applyFont="1" applyFill="1" applyAlignment="1">
      <alignment horizontal="right" vertical="top"/>
    </xf>
    <xf numFmtId="0" fontId="52" fillId="19" borderId="0" xfId="8" applyFont="1" applyFill="1" applyAlignment="1">
      <alignment horizontal="left" vertical="center" wrapText="1"/>
    </xf>
    <xf numFmtId="41" fontId="37" fillId="19" borderId="0" xfId="12" applyNumberFormat="1" applyFont="1" applyFill="1" applyAlignment="1">
      <alignment shrinkToFit="1"/>
    </xf>
    <xf numFmtId="2" fontId="3" fillId="0" borderId="0" xfId="0" applyNumberFormat="1" applyFont="1" applyAlignment="1">
      <alignment horizontal="left"/>
    </xf>
    <xf numFmtId="168" fontId="3" fillId="0" borderId="1" xfId="0" applyNumberFormat="1" applyFont="1" applyBorder="1" applyAlignment="1">
      <alignment horizontal="right"/>
    </xf>
    <xf numFmtId="1" fontId="3" fillId="0" borderId="3" xfId="4" applyNumberFormat="1" applyFont="1" applyFill="1" applyBorder="1" applyAlignment="1" applyProtection="1">
      <alignment horizontal="left"/>
    </xf>
    <xf numFmtId="1" fontId="47" fillId="0" borderId="42" xfId="4" applyNumberFormat="1" applyFont="1" applyFill="1" applyBorder="1" applyAlignment="1" applyProtection="1">
      <alignment horizontal="left" shrinkToFit="1"/>
      <protection locked="0"/>
    </xf>
    <xf numFmtId="1" fontId="47" fillId="0" borderId="43" xfId="4" applyNumberFormat="1" applyFont="1" applyFill="1" applyBorder="1" applyAlignment="1" applyProtection="1">
      <alignment horizontal="left" shrinkToFit="1"/>
      <protection locked="0"/>
    </xf>
    <xf numFmtId="14" fontId="9" fillId="0" borderId="20" xfId="0" applyNumberFormat="1" applyFont="1" applyBorder="1" applyAlignment="1" applyProtection="1">
      <alignment shrinkToFit="1"/>
      <protection locked="0"/>
    </xf>
    <xf numFmtId="0" fontId="9" fillId="0" borderId="20" xfId="0" applyFont="1" applyBorder="1" applyAlignment="1" applyProtection="1">
      <alignment shrinkToFit="1"/>
      <protection locked="0"/>
    </xf>
    <xf numFmtId="164" fontId="10" fillId="0" borderId="26" xfId="4" applyNumberFormat="1" applyFont="1" applyFill="1" applyBorder="1" applyAlignment="1" applyProtection="1">
      <alignment horizontal="center"/>
      <protection locked="0"/>
    </xf>
    <xf numFmtId="42" fontId="9" fillId="0" borderId="26" xfId="0" applyNumberFormat="1" applyFont="1" applyBorder="1" applyAlignment="1" applyProtection="1">
      <alignment shrinkToFit="1"/>
      <protection locked="0"/>
    </xf>
    <xf numFmtId="0" fontId="9" fillId="0" borderId="26" xfId="4" applyNumberFormat="1" applyFont="1" applyFill="1" applyBorder="1" applyAlignment="1" applyProtection="1">
      <alignment horizontal="center" shrinkToFit="1"/>
      <protection locked="0"/>
    </xf>
    <xf numFmtId="164" fontId="9" fillId="0" borderId="26" xfId="4" applyNumberFormat="1" applyFont="1" applyFill="1" applyBorder="1" applyAlignment="1" applyProtection="1">
      <alignment horizontal="center"/>
      <protection locked="0"/>
    </xf>
    <xf numFmtId="14" fontId="9" fillId="0" borderId="26" xfId="4" applyNumberFormat="1" applyFont="1" applyFill="1" applyBorder="1" applyAlignment="1" applyProtection="1">
      <alignment horizontal="center"/>
      <protection locked="0"/>
    </xf>
    <xf numFmtId="168" fontId="3" fillId="0" borderId="1" xfId="0" applyNumberFormat="1" applyFont="1" applyBorder="1" applyAlignment="1">
      <alignment horizontal="right" vertical="top"/>
    </xf>
    <xf numFmtId="41" fontId="3" fillId="0" borderId="1" xfId="12" applyNumberFormat="1" applyBorder="1" applyAlignment="1">
      <alignment shrinkToFit="1"/>
    </xf>
    <xf numFmtId="41" fontId="3" fillId="0" borderId="0" xfId="12" applyNumberFormat="1" applyAlignment="1">
      <alignment vertical="top" shrinkToFit="1"/>
    </xf>
    <xf numFmtId="10" fontId="3" fillId="0" borderId="28" xfId="12" applyNumberFormat="1" applyBorder="1" applyAlignment="1">
      <alignment vertical="top" shrinkToFit="1"/>
    </xf>
    <xf numFmtId="14" fontId="3" fillId="0" borderId="14" xfId="0" applyNumberFormat="1" applyFont="1" applyBorder="1" applyProtection="1">
      <protection locked="0"/>
    </xf>
    <xf numFmtId="168" fontId="37" fillId="0" borderId="36" xfId="0" applyNumberFormat="1" applyFont="1" applyBorder="1" applyAlignment="1">
      <alignment horizontal="right"/>
    </xf>
    <xf numFmtId="168" fontId="37" fillId="0" borderId="36" xfId="0" applyNumberFormat="1" applyFont="1" applyBorder="1"/>
    <xf numFmtId="1" fontId="37" fillId="0" borderId="45" xfId="4" applyNumberFormat="1" applyFont="1" applyFill="1" applyBorder="1" applyAlignment="1" applyProtection="1">
      <alignment horizontal="left" shrinkToFit="1"/>
    </xf>
    <xf numFmtId="164" fontId="37" fillId="0" borderId="36" xfId="4" applyNumberFormat="1" applyFont="1" applyFill="1" applyBorder="1" applyAlignment="1" applyProtection="1">
      <alignment horizontal="center"/>
      <protection locked="0"/>
    </xf>
    <xf numFmtId="14" fontId="37" fillId="0" borderId="36" xfId="4" applyNumberFormat="1" applyFont="1" applyFill="1" applyBorder="1" applyAlignment="1" applyProtection="1">
      <alignment horizontal="center"/>
      <protection locked="0"/>
    </xf>
    <xf numFmtId="0" fontId="37" fillId="0" borderId="36" xfId="4" applyNumberFormat="1" applyFont="1" applyFill="1" applyBorder="1" applyAlignment="1" applyProtection="1">
      <alignment horizontal="center" shrinkToFit="1"/>
      <protection locked="0"/>
    </xf>
    <xf numFmtId="0" fontId="37" fillId="0" borderId="46" xfId="0" applyFont="1" applyBorder="1" applyAlignment="1" applyProtection="1">
      <alignment shrinkToFit="1"/>
      <protection locked="0"/>
    </xf>
    <xf numFmtId="14" fontId="38" fillId="0" borderId="46" xfId="0" applyNumberFormat="1" applyFont="1" applyBorder="1" applyAlignment="1" applyProtection="1">
      <alignment shrinkToFit="1"/>
      <protection locked="0"/>
    </xf>
    <xf numFmtId="0" fontId="16" fillId="0" borderId="8" xfId="0" applyFont="1" applyBorder="1" applyAlignment="1" applyProtection="1">
      <alignment horizontal="center" vertical="top"/>
      <protection locked="0"/>
    </xf>
    <xf numFmtId="0" fontId="4" fillId="49" borderId="44" xfId="0" applyFont="1" applyFill="1" applyBorder="1" applyAlignment="1" applyProtection="1">
      <alignment horizontal="center" vertical="top"/>
      <protection locked="0"/>
    </xf>
    <xf numFmtId="164" fontId="3" fillId="49" borderId="27" xfId="4" applyNumberFormat="1" applyFont="1" applyFill="1" applyBorder="1" applyAlignment="1" applyProtection="1">
      <alignment vertical="top" shrinkToFit="1"/>
      <protection locked="0"/>
    </xf>
    <xf numFmtId="14" fontId="4" fillId="49" borderId="44" xfId="0" applyNumberFormat="1" applyFont="1" applyFill="1" applyBorder="1" applyAlignment="1" applyProtection="1">
      <alignment horizontal="center" vertical="top"/>
      <protection locked="0"/>
    </xf>
    <xf numFmtId="0" fontId="48" fillId="0" borderId="44" xfId="0" applyFont="1" applyBorder="1" applyAlignment="1">
      <alignment horizontal="left"/>
    </xf>
    <xf numFmtId="164" fontId="3" fillId="0" borderId="15" xfId="5" applyNumberFormat="1" applyFont="1" applyFill="1" applyBorder="1" applyAlignment="1" applyProtection="1">
      <alignment vertical="top" shrinkToFit="1"/>
      <protection locked="0"/>
    </xf>
    <xf numFmtId="0" fontId="49" fillId="0" borderId="0" xfId="0" applyFont="1"/>
    <xf numFmtId="0" fontId="39" fillId="0" borderId="0" xfId="0" applyFont="1"/>
    <xf numFmtId="0" fontId="4" fillId="8" borderId="67" xfId="0" applyFont="1" applyFill="1" applyBorder="1" applyAlignment="1">
      <alignment vertical="top" wrapText="1"/>
    </xf>
    <xf numFmtId="0" fontId="3" fillId="0" borderId="67" xfId="0" applyFont="1" applyBorder="1" applyAlignment="1">
      <alignment vertical="top" wrapText="1"/>
    </xf>
    <xf numFmtId="0" fontId="3" fillId="0" borderId="0" xfId="0" applyFont="1" applyAlignment="1">
      <alignment horizontal="center" vertical="top"/>
    </xf>
    <xf numFmtId="0" fontId="3" fillId="0" borderId="0" xfId="0" quotePrefix="1" applyFont="1" applyAlignment="1">
      <alignment horizontal="right" vertical="top"/>
    </xf>
    <xf numFmtId="0" fontId="4" fillId="8" borderId="0" xfId="0" applyFont="1" applyFill="1" applyAlignment="1">
      <alignment vertical="top" wrapText="1"/>
    </xf>
    <xf numFmtId="0" fontId="4" fillId="0" borderId="0" xfId="0" applyFont="1" applyAlignment="1">
      <alignment vertical="top" wrapText="1"/>
    </xf>
    <xf numFmtId="170" fontId="3" fillId="0" borderId="0" xfId="0" quotePrefix="1" applyNumberFormat="1" applyFont="1" applyAlignment="1">
      <alignment horizontal="right" vertical="top"/>
    </xf>
    <xf numFmtId="164" fontId="9" fillId="0" borderId="61" xfId="5" applyNumberFormat="1" applyFont="1" applyFill="1" applyBorder="1" applyAlignment="1" applyProtection="1">
      <alignment vertical="top" shrinkToFit="1"/>
    </xf>
    <xf numFmtId="164" fontId="3" fillId="0" borderId="44" xfId="0" applyNumberFormat="1" applyFont="1" applyBorder="1"/>
    <xf numFmtId="164" fontId="3" fillId="0" borderId="44" xfId="4" applyNumberFormat="1" applyFont="1" applyFill="1" applyBorder="1" applyAlignment="1" applyProtection="1">
      <alignment horizontal="right" vertical="top"/>
      <protection locked="0"/>
    </xf>
    <xf numFmtId="164" fontId="3" fillId="0" borderId="47" xfId="4" applyNumberFormat="1" applyFont="1" applyFill="1" applyBorder="1" applyAlignment="1" applyProtection="1">
      <alignment horizontal="right" vertical="top"/>
      <protection locked="0"/>
    </xf>
    <xf numFmtId="164" fontId="3" fillId="49" borderId="60" xfId="4" applyNumberFormat="1" applyFont="1" applyFill="1" applyBorder="1" applyAlignment="1" applyProtection="1">
      <alignment horizontal="right" vertical="top"/>
      <protection locked="0"/>
    </xf>
    <xf numFmtId="164" fontId="3" fillId="49" borderId="1" xfId="4" applyNumberFormat="1" applyFont="1" applyFill="1" applyBorder="1" applyAlignment="1" applyProtection="1">
      <alignment horizontal="right" vertical="top"/>
      <protection locked="0"/>
    </xf>
    <xf numFmtId="170" fontId="3" fillId="0" borderId="0" xfId="0" applyNumberFormat="1" applyFont="1" applyAlignment="1">
      <alignment horizontal="center"/>
    </xf>
    <xf numFmtId="0" fontId="3" fillId="0" borderId="0" xfId="0" applyFont="1" applyAlignment="1">
      <alignment vertical="top"/>
    </xf>
    <xf numFmtId="0" fontId="3" fillId="9" borderId="0" xfId="0" applyFont="1" applyFill="1" applyAlignment="1">
      <alignment vertical="top" wrapText="1"/>
    </xf>
    <xf numFmtId="0" fontId="3" fillId="9" borderId="0" xfId="0" applyFont="1" applyFill="1" applyAlignment="1">
      <alignment horizontal="right" vertical="top"/>
    </xf>
    <xf numFmtId="164" fontId="9" fillId="49" borderId="62" xfId="5" applyNumberFormat="1" applyFont="1" applyFill="1" applyBorder="1" applyAlignment="1" applyProtection="1">
      <alignment vertical="top" shrinkToFit="1"/>
    </xf>
    <xf numFmtId="42" fontId="37" fillId="0" borderId="36" xfId="0" applyNumberFormat="1" applyFont="1" applyBorder="1" applyAlignment="1" applyProtection="1">
      <alignment shrinkToFit="1"/>
      <protection locked="0"/>
    </xf>
    <xf numFmtId="0" fontId="3" fillId="0" borderId="69" xfId="0" applyFont="1" applyBorder="1" applyAlignment="1">
      <alignment vertical="top"/>
    </xf>
    <xf numFmtId="0" fontId="3" fillId="0" borderId="2" xfId="0" applyFont="1" applyBorder="1" applyAlignment="1">
      <alignment vertical="top"/>
    </xf>
    <xf numFmtId="0" fontId="3" fillId="0" borderId="68" xfId="0" applyFont="1" applyBorder="1" applyAlignment="1">
      <alignment vertical="top"/>
    </xf>
    <xf numFmtId="170" fontId="3" fillId="0" borderId="0" xfId="0" applyNumberFormat="1" applyFont="1" applyAlignment="1">
      <alignment vertical="top"/>
    </xf>
    <xf numFmtId="0" fontId="3" fillId="8" borderId="67" xfId="0" applyFont="1" applyFill="1" applyBorder="1" applyAlignment="1">
      <alignment vertical="top"/>
    </xf>
    <xf numFmtId="0" fontId="6" fillId="8" borderId="0" xfId="0" applyFont="1" applyFill="1" applyAlignment="1">
      <alignment horizontal="left" vertical="top"/>
    </xf>
    <xf numFmtId="0" fontId="3" fillId="0" borderId="65" xfId="0" applyFont="1" applyBorder="1" applyAlignment="1">
      <alignment vertical="top"/>
    </xf>
    <xf numFmtId="0" fontId="3" fillId="0" borderId="67" xfId="0" applyFont="1" applyBorder="1" applyAlignment="1">
      <alignment vertical="top"/>
    </xf>
    <xf numFmtId="0" fontId="3" fillId="0" borderId="66" xfId="0" applyFont="1" applyBorder="1" applyAlignment="1">
      <alignment vertical="top"/>
    </xf>
    <xf numFmtId="0" fontId="3" fillId="8" borderId="65" xfId="0" applyFont="1" applyFill="1" applyBorder="1" applyAlignment="1">
      <alignment vertical="top"/>
    </xf>
    <xf numFmtId="0" fontId="3" fillId="8" borderId="64" xfId="0" applyFont="1" applyFill="1" applyBorder="1" applyAlignment="1">
      <alignment vertical="top"/>
    </xf>
    <xf numFmtId="0" fontId="6" fillId="8" borderId="64" xfId="0" applyFont="1" applyFill="1" applyBorder="1" applyAlignment="1">
      <alignment horizontal="left" vertical="top"/>
    </xf>
    <xf numFmtId="0" fontId="3" fillId="0" borderId="64" xfId="0" applyFont="1" applyBorder="1" applyAlignment="1">
      <alignment vertical="top"/>
    </xf>
    <xf numFmtId="0" fontId="38" fillId="0" borderId="63" xfId="0" applyFont="1" applyBorder="1" applyAlignment="1">
      <alignment vertical="top"/>
    </xf>
    <xf numFmtId="170" fontId="4" fillId="0" borderId="0" xfId="0" quotePrefix="1" applyNumberFormat="1" applyFont="1" applyAlignment="1">
      <alignment horizontal="left" vertical="top" wrapText="1"/>
    </xf>
    <xf numFmtId="170" fontId="3" fillId="0" borderId="0" xfId="0" quotePrefix="1" applyNumberFormat="1" applyFont="1" applyAlignment="1">
      <alignment horizontal="right" vertical="top" wrapText="1"/>
    </xf>
    <xf numFmtId="170" fontId="3" fillId="0" borderId="0" xfId="0" quotePrefix="1" applyNumberFormat="1" applyFont="1" applyAlignment="1">
      <alignment horizontal="left" vertical="top" wrapText="1"/>
    </xf>
    <xf numFmtId="0" fontId="3" fillId="0" borderId="0" xfId="0" applyFont="1" applyAlignment="1">
      <alignment horizontal="right" vertical="top"/>
    </xf>
    <xf numFmtId="0" fontId="48" fillId="0" borderId="67" xfId="0" applyFont="1" applyBorder="1" applyAlignment="1">
      <alignment vertical="top" wrapText="1"/>
    </xf>
    <xf numFmtId="0" fontId="3" fillId="8" borderId="0" xfId="0" applyFont="1" applyFill="1"/>
    <xf numFmtId="170" fontId="5" fillId="0" borderId="0" xfId="0" quotePrefix="1" applyNumberFormat="1" applyFont="1" applyAlignment="1">
      <alignment horizontal="right" vertical="top"/>
    </xf>
    <xf numFmtId="170" fontId="3" fillId="0" borderId="0" xfId="0" quotePrefix="1" applyNumberFormat="1" applyFont="1" applyAlignment="1">
      <alignment horizontal="right" vertical="center"/>
    </xf>
    <xf numFmtId="0" fontId="3" fillId="0" borderId="4" xfId="11" applyBorder="1" applyAlignment="1">
      <alignment horizontal="left" wrapText="1" shrinkToFit="1"/>
    </xf>
    <xf numFmtId="0" fontId="8" fillId="0" borderId="0" xfId="0" applyFont="1" applyAlignment="1">
      <alignment horizontal="center" vertical="top"/>
    </xf>
    <xf numFmtId="0" fontId="54" fillId="0" borderId="0" xfId="0" applyFont="1" applyAlignment="1">
      <alignment horizontal="left" vertical="top"/>
    </xf>
    <xf numFmtId="0" fontId="5" fillId="0" borderId="0" xfId="0" applyFont="1" applyAlignment="1">
      <alignment horizontal="right" vertical="top"/>
    </xf>
    <xf numFmtId="0" fontId="4" fillId="0" borderId="0" xfId="0" applyFont="1" applyAlignment="1">
      <alignment vertical="top"/>
    </xf>
    <xf numFmtId="0" fontId="9" fillId="0" borderId="9" xfId="0" applyFont="1" applyBorder="1" applyAlignment="1" applyProtection="1">
      <alignment horizontal="center" vertical="top"/>
      <protection locked="0"/>
    </xf>
    <xf numFmtId="170" fontId="4" fillId="0" borderId="0" xfId="0" applyNumberFormat="1" applyFont="1" applyAlignment="1">
      <alignment horizontal="right" vertical="top"/>
    </xf>
    <xf numFmtId="0" fontId="9" fillId="0" borderId="0" xfId="0" applyFont="1" applyAlignment="1">
      <alignment vertical="top"/>
    </xf>
    <xf numFmtId="0" fontId="3" fillId="0" borderId="0" xfId="0" quotePrefix="1" applyFont="1" applyAlignment="1">
      <alignment vertical="top"/>
    </xf>
    <xf numFmtId="0" fontId="4" fillId="0" borderId="2" xfId="0" quotePrefix="1" applyFont="1" applyBorder="1" applyAlignment="1" applyProtection="1">
      <alignment vertical="top"/>
      <protection locked="0"/>
    </xf>
    <xf numFmtId="0" fontId="74" fillId="0" borderId="0" xfId="0" applyFont="1" applyAlignment="1">
      <alignment vertical="top"/>
    </xf>
    <xf numFmtId="0" fontId="75" fillId="0" borderId="0" xfId="0" applyFont="1" applyAlignment="1">
      <alignment vertical="top"/>
    </xf>
    <xf numFmtId="0" fontId="75" fillId="0" borderId="0" xfId="0" quotePrefix="1" applyFont="1" applyAlignment="1">
      <alignment vertical="top"/>
    </xf>
    <xf numFmtId="0" fontId="4" fillId="0" borderId="2" xfId="0" applyFont="1" applyBorder="1" applyAlignment="1" applyProtection="1">
      <alignment vertical="top"/>
      <protection locked="0"/>
    </xf>
    <xf numFmtId="0" fontId="74" fillId="0" borderId="2" xfId="0" quotePrefix="1" applyFont="1" applyBorder="1" applyAlignment="1" applyProtection="1">
      <alignment vertical="top"/>
      <protection locked="0"/>
    </xf>
    <xf numFmtId="0" fontId="3" fillId="0" borderId="0" xfId="0" applyFont="1" applyAlignment="1">
      <alignment horizontal="left" vertical="top" wrapText="1"/>
    </xf>
    <xf numFmtId="0" fontId="3" fillId="0" borderId="0" xfId="0" applyFont="1" applyAlignment="1" applyProtection="1">
      <alignment vertical="top"/>
      <protection locked="0"/>
    </xf>
    <xf numFmtId="0" fontId="3" fillId="0" borderId="2" xfId="0" applyFont="1" applyBorder="1" applyAlignment="1" applyProtection="1">
      <alignment vertical="top"/>
      <protection locked="0"/>
    </xf>
    <xf numFmtId="38" fontId="3" fillId="7" borderId="1" xfId="9" applyFill="1" applyBorder="1"/>
    <xf numFmtId="42" fontId="3" fillId="0" borderId="1" xfId="0" applyNumberFormat="1" applyFont="1" applyBorder="1" applyAlignment="1">
      <alignment shrinkToFit="1"/>
    </xf>
    <xf numFmtId="0" fontId="3" fillId="0" borderId="6" xfId="0" applyFont="1" applyBorder="1"/>
    <xf numFmtId="38" fontId="10" fillId="0" borderId="0" xfId="9" applyFont="1"/>
    <xf numFmtId="0" fontId="35" fillId="0" borderId="0" xfId="53" applyFont="1"/>
    <xf numFmtId="14" fontId="4" fillId="49" borderId="0" xfId="0" applyNumberFormat="1" applyFont="1" applyFill="1" applyAlignment="1" applyProtection="1">
      <alignment horizontal="center" vertical="top"/>
      <protection locked="0"/>
    </xf>
    <xf numFmtId="0" fontId="77" fillId="0" borderId="0" xfId="3" applyFont="1" applyFill="1" applyBorder="1"/>
    <xf numFmtId="0" fontId="25" fillId="0" borderId="0" xfId="3" applyFont="1" applyFill="1" applyBorder="1"/>
    <xf numFmtId="0" fontId="4" fillId="0" borderId="0" xfId="3" applyFont="1" applyFill="1" applyBorder="1"/>
    <xf numFmtId="14" fontId="3" fillId="0" borderId="0" xfId="3" applyNumberFormat="1" applyFont="1" applyFill="1" applyBorder="1"/>
    <xf numFmtId="0" fontId="3" fillId="0" borderId="0" xfId="3" applyFont="1" applyFill="1" applyBorder="1"/>
    <xf numFmtId="38" fontId="4" fillId="0" borderId="0" xfId="9" applyFont="1" applyAlignment="1">
      <alignment horizontal="right"/>
    </xf>
    <xf numFmtId="14" fontId="4" fillId="7" borderId="0" xfId="9" applyNumberFormat="1" applyFont="1" applyFill="1"/>
    <xf numFmtId="38" fontId="3" fillId="16" borderId="0" xfId="9" applyFill="1" applyAlignment="1">
      <alignment horizontal="center" vertical="top" wrapText="1"/>
    </xf>
    <xf numFmtId="38" fontId="3" fillId="17" borderId="6" xfId="9" applyFill="1" applyBorder="1" applyAlignment="1">
      <alignment horizontal="center"/>
    </xf>
    <xf numFmtId="38" fontId="3" fillId="17" borderId="7" xfId="9" applyFill="1" applyBorder="1" applyAlignment="1">
      <alignment horizontal="center"/>
    </xf>
    <xf numFmtId="38" fontId="3" fillId="17" borderId="17" xfId="9" applyFill="1" applyBorder="1" applyAlignment="1">
      <alignment horizontal="center"/>
    </xf>
    <xf numFmtId="165" fontId="3" fillId="0" borderId="0" xfId="9" applyNumberFormat="1" applyAlignment="1">
      <alignment horizontal="right"/>
    </xf>
    <xf numFmtId="0" fontId="11" fillId="0" borderId="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3" fillId="0" borderId="67" xfId="0" applyFont="1" applyBorder="1" applyAlignment="1">
      <alignment vertical="top" wrapText="1"/>
    </xf>
    <xf numFmtId="0" fontId="27" fillId="0" borderId="0" xfId="8" applyFont="1" applyAlignment="1">
      <alignment horizontal="left" vertical="center" wrapText="1"/>
    </xf>
    <xf numFmtId="0" fontId="53" fillId="0" borderId="15" xfId="0" applyFont="1" applyBorder="1" applyAlignment="1">
      <alignment horizontal="left" vertical="top" shrinkToFit="1"/>
    </xf>
    <xf numFmtId="0" fontId="53" fillId="0" borderId="16" xfId="0" applyFont="1" applyBorder="1" applyAlignment="1">
      <alignment horizontal="left" vertical="top" shrinkToFit="1"/>
    </xf>
    <xf numFmtId="0" fontId="53" fillId="0" borderId="3" xfId="0" applyFont="1" applyBorder="1" applyAlignment="1">
      <alignment horizontal="left" vertical="top" shrinkToFit="1"/>
    </xf>
    <xf numFmtId="0" fontId="3" fillId="0" borderId="0" xfId="0" applyFont="1" applyAlignment="1">
      <alignment horizontal="left" vertical="top" wrapText="1"/>
    </xf>
    <xf numFmtId="0" fontId="3" fillId="9" borderId="0" xfId="12" applyFill="1" applyAlignment="1">
      <alignment horizontal="left" vertical="top" shrinkToFit="1"/>
    </xf>
    <xf numFmtId="0" fontId="3" fillId="9" borderId="21" xfId="12" applyFill="1" applyBorder="1" applyAlignment="1">
      <alignment horizontal="left" vertical="top" shrinkToFit="1"/>
    </xf>
    <xf numFmtId="0" fontId="48" fillId="9" borderId="0" xfId="0" applyFont="1" applyFill="1" applyAlignment="1">
      <alignment horizontal="left" vertical="top" wrapText="1"/>
    </xf>
    <xf numFmtId="0" fontId="4" fillId="49" borderId="37" xfId="0" applyFont="1" applyFill="1" applyBorder="1" applyAlignment="1" applyProtection="1">
      <alignment horizontal="left" vertical="top"/>
      <protection locked="0"/>
    </xf>
    <xf numFmtId="0" fontId="4" fillId="49" borderId="38" xfId="0" applyFont="1" applyFill="1" applyBorder="1" applyAlignment="1" applyProtection="1">
      <alignment horizontal="left" vertical="top"/>
      <protection locked="0"/>
    </xf>
    <xf numFmtId="0" fontId="4" fillId="49" borderId="43" xfId="0" applyFont="1" applyFill="1" applyBorder="1" applyAlignment="1" applyProtection="1">
      <alignment horizontal="left" vertical="top"/>
      <protection locked="0"/>
    </xf>
    <xf numFmtId="0" fontId="44" fillId="0" borderId="0" xfId="0" applyFont="1" applyAlignment="1">
      <alignment horizontal="left" vertical="center" wrapText="1"/>
    </xf>
    <xf numFmtId="0" fontId="3" fillId="0" borderId="0" xfId="0" applyFont="1" applyAlignment="1">
      <alignment horizontal="left" vertical="center" wrapText="1"/>
    </xf>
    <xf numFmtId="0" fontId="20" fillId="12" borderId="2" xfId="1" applyFont="1" applyFill="1" applyBorder="1" applyAlignment="1" applyProtection="1">
      <alignment horizontal="center" vertical="center" wrapText="1"/>
    </xf>
    <xf numFmtId="0" fontId="54" fillId="0" borderId="0" xfId="0" applyFont="1" applyAlignment="1">
      <alignment horizontal="left" wrapText="1"/>
    </xf>
    <xf numFmtId="0" fontId="9" fillId="0" borderId="18" xfId="0" applyFont="1" applyBorder="1" applyAlignment="1" applyProtection="1">
      <alignment horizontal="left" shrinkToFit="1"/>
      <protection locked="0"/>
    </xf>
    <xf numFmtId="0" fontId="9" fillId="0" borderId="19" xfId="0" applyFont="1" applyBorder="1" applyAlignment="1" applyProtection="1">
      <alignment horizontal="left" shrinkToFit="1"/>
      <protection locked="0"/>
    </xf>
    <xf numFmtId="0" fontId="3" fillId="0" borderId="25" xfId="0" applyFont="1" applyBorder="1" applyAlignment="1" applyProtection="1">
      <alignment shrinkToFit="1"/>
      <protection locked="0"/>
    </xf>
    <xf numFmtId="0" fontId="9" fillId="0" borderId="40" xfId="0" applyFont="1" applyBorder="1" applyAlignment="1" applyProtection="1">
      <alignment horizontal="center" shrinkToFit="1"/>
      <protection locked="0"/>
    </xf>
    <xf numFmtId="0" fontId="55" fillId="0" borderId="48" xfId="0" applyFont="1" applyBorder="1" applyAlignment="1" applyProtection="1">
      <alignment shrinkToFit="1"/>
      <protection locked="0"/>
    </xf>
    <xf numFmtId="0" fontId="55" fillId="0" borderId="49" xfId="0" applyFont="1" applyBorder="1" applyAlignment="1" applyProtection="1">
      <alignment shrinkToFit="1"/>
      <protection locked="0"/>
    </xf>
    <xf numFmtId="0" fontId="55" fillId="0" borderId="50" xfId="0" applyFont="1" applyBorder="1" applyAlignment="1" applyProtection="1">
      <alignment shrinkToFit="1"/>
      <protection locked="0"/>
    </xf>
    <xf numFmtId="0" fontId="3" fillId="0" borderId="0" xfId="0" applyFont="1" applyAlignment="1">
      <alignment horizontal="left" shrinkToFit="1"/>
    </xf>
    <xf numFmtId="0" fontId="37" fillId="0" borderId="0" xfId="0" applyFont="1" applyAlignment="1">
      <alignment shrinkToFit="1"/>
    </xf>
    <xf numFmtId="0" fontId="3" fillId="0" borderId="0" xfId="0" applyFont="1" applyAlignment="1">
      <alignment shrinkToFit="1"/>
    </xf>
    <xf numFmtId="0" fontId="10" fillId="0" borderId="18" xfId="4" applyNumberFormat="1" applyFont="1" applyFill="1" applyBorder="1" applyAlignment="1" applyProtection="1">
      <alignment horizontal="left"/>
      <protection locked="0"/>
    </xf>
    <xf numFmtId="0" fontId="10" fillId="0" borderId="19" xfId="4" applyNumberFormat="1" applyFont="1" applyFill="1" applyBorder="1" applyAlignment="1" applyProtection="1">
      <alignment horizontal="left"/>
      <protection locked="0"/>
    </xf>
    <xf numFmtId="0" fontId="10" fillId="0" borderId="25" xfId="4" applyNumberFormat="1" applyFont="1" applyFill="1" applyBorder="1" applyAlignment="1" applyProtection="1">
      <alignment horizontal="left"/>
      <protection locked="0"/>
    </xf>
    <xf numFmtId="0" fontId="10" fillId="0" borderId="18" xfId="4" applyNumberFormat="1" applyFont="1" applyFill="1" applyBorder="1" applyAlignment="1" applyProtection="1">
      <alignment horizontal="left" shrinkToFit="1"/>
      <protection locked="0"/>
    </xf>
    <xf numFmtId="0" fontId="10" fillId="0" borderId="19" xfId="4" applyNumberFormat="1" applyFont="1" applyFill="1" applyBorder="1" applyAlignment="1" applyProtection="1">
      <alignment horizontal="left" shrinkToFit="1"/>
      <protection locked="0"/>
    </xf>
    <xf numFmtId="0" fontId="10" fillId="0" borderId="25" xfId="4" applyNumberFormat="1" applyFont="1" applyFill="1" applyBorder="1" applyAlignment="1" applyProtection="1">
      <alignment horizontal="left" shrinkToFit="1"/>
      <protection locked="0"/>
    </xf>
    <xf numFmtId="0" fontId="9" fillId="0" borderId="20" xfId="0" applyFont="1" applyBorder="1" applyAlignment="1" applyProtection="1">
      <alignment horizontal="center" shrinkToFit="1"/>
      <protection locked="0"/>
    </xf>
    <xf numFmtId="0" fontId="4" fillId="0" borderId="0" xfId="0" applyFont="1" applyAlignment="1">
      <alignment horizontal="left" shrinkToFit="1"/>
    </xf>
    <xf numFmtId="0" fontId="7" fillId="0" borderId="0" xfId="0" applyFont="1" applyAlignment="1">
      <alignment horizontal="left" wrapText="1"/>
    </xf>
    <xf numFmtId="167" fontId="9" fillId="0" borderId="18" xfId="0" applyNumberFormat="1" applyFont="1" applyBorder="1" applyAlignment="1" applyProtection="1">
      <alignment horizontal="left" shrinkToFit="1"/>
      <protection locked="0"/>
    </xf>
    <xf numFmtId="167" fontId="9" fillId="0" borderId="19" xfId="0" applyNumberFormat="1" applyFont="1" applyBorder="1" applyAlignment="1" applyProtection="1">
      <alignment horizontal="left" shrinkToFit="1"/>
      <protection locked="0"/>
    </xf>
    <xf numFmtId="167" fontId="3" fillId="0" borderId="25" xfId="0" applyNumberFormat="1" applyFont="1" applyBorder="1" applyAlignment="1" applyProtection="1">
      <alignment shrinkToFit="1"/>
      <protection locked="0"/>
    </xf>
    <xf numFmtId="0" fontId="9" fillId="0" borderId="20" xfId="0" applyFont="1" applyBorder="1" applyAlignment="1" applyProtection="1">
      <alignment shrinkToFit="1"/>
      <protection locked="0"/>
    </xf>
    <xf numFmtId="0" fontId="9" fillId="0" borderId="40" xfId="0" applyFont="1" applyBorder="1" applyAlignment="1" applyProtection="1">
      <alignment horizontal="left" shrinkToFit="1"/>
      <protection locked="0"/>
    </xf>
    <xf numFmtId="0" fontId="5" fillId="0" borderId="0" xfId="0" applyFont="1" applyAlignment="1">
      <alignment horizontal="left" vertical="top" wrapText="1"/>
    </xf>
    <xf numFmtId="0" fontId="15" fillId="0" borderId="0" xfId="10" applyFont="1" applyAlignment="1">
      <alignment vertical="top" wrapText="1"/>
    </xf>
    <xf numFmtId="0" fontId="3" fillId="0" borderId="0" xfId="0" applyFont="1" applyAlignment="1">
      <alignment wrapText="1"/>
    </xf>
    <xf numFmtId="0" fontId="5" fillId="0" borderId="0" xfId="0" quotePrefix="1" applyFont="1" applyAlignment="1">
      <alignment horizontal="left" vertical="top" wrapText="1"/>
    </xf>
    <xf numFmtId="0" fontId="5" fillId="0" borderId="0" xfId="0" applyFont="1" applyAlignment="1">
      <alignment vertical="top" wrapText="1"/>
    </xf>
    <xf numFmtId="0" fontId="3" fillId="0" borderId="0" xfId="0" applyFont="1"/>
    <xf numFmtId="0" fontId="16" fillId="0" borderId="30" xfId="0" applyFont="1" applyBorder="1" applyAlignment="1" applyProtection="1">
      <alignment horizontal="center" vertical="top"/>
      <protection locked="0"/>
    </xf>
    <xf numFmtId="0" fontId="16" fillId="0" borderId="8" xfId="0" applyFont="1" applyBorder="1" applyAlignment="1" applyProtection="1">
      <alignment horizontal="center" vertical="top"/>
      <protection locked="0"/>
    </xf>
    <xf numFmtId="0" fontId="28" fillId="0" borderId="0" xfId="10" applyFont="1" applyAlignment="1">
      <alignment vertical="top" wrapText="1"/>
    </xf>
    <xf numFmtId="0" fontId="8" fillId="0" borderId="0" xfId="0" applyFont="1" applyAlignment="1">
      <alignment wrapText="1"/>
    </xf>
    <xf numFmtId="0" fontId="15" fillId="0" borderId="0" xfId="10" applyFont="1" applyAlignment="1">
      <alignment wrapText="1"/>
    </xf>
    <xf numFmtId="0" fontId="5" fillId="0" borderId="0" xfId="0" applyFont="1" applyAlignment="1">
      <alignment wrapText="1"/>
    </xf>
    <xf numFmtId="0" fontId="5" fillId="0" borderId="0" xfId="0" quotePrefix="1" applyFont="1" applyAlignment="1">
      <alignment horizontal="left" vertical="top"/>
    </xf>
    <xf numFmtId="0" fontId="8" fillId="0" borderId="0" xfId="0" applyFont="1" applyAlignment="1">
      <alignment horizontal="center" vertical="top"/>
    </xf>
    <xf numFmtId="0" fontId="54" fillId="0" borderId="0" xfId="0" applyFont="1" applyAlignment="1">
      <alignment horizontal="left" vertical="top"/>
    </xf>
    <xf numFmtId="0" fontId="54" fillId="0" borderId="0" xfId="0" applyFont="1" applyAlignment="1">
      <alignment horizontal="left" vertical="top" wrapText="1"/>
    </xf>
    <xf numFmtId="0" fontId="9" fillId="0" borderId="25" xfId="0" applyFont="1" applyBorder="1" applyAlignment="1" applyProtection="1">
      <alignment horizontal="left" shrinkToFit="1"/>
      <protection locked="0"/>
    </xf>
    <xf numFmtId="167" fontId="9" fillId="0" borderId="25" xfId="0" applyNumberFormat="1" applyFont="1" applyBorder="1" applyAlignment="1" applyProtection="1">
      <alignment horizontal="left" shrinkToFit="1"/>
      <protection locked="0"/>
    </xf>
    <xf numFmtId="0" fontId="37" fillId="0" borderId="34" xfId="0" applyFont="1" applyBorder="1" applyAlignment="1">
      <alignment shrinkToFit="1"/>
    </xf>
    <xf numFmtId="0" fontId="37" fillId="0" borderId="35" xfId="0" applyFont="1" applyBorder="1" applyAlignment="1">
      <alignment shrinkToFit="1"/>
    </xf>
    <xf numFmtId="0" fontId="37" fillId="0" borderId="45" xfId="0" applyFont="1" applyBorder="1" applyAlignment="1">
      <alignment shrinkToFit="1"/>
    </xf>
    <xf numFmtId="0" fontId="37" fillId="0" borderId="34" xfId="0" applyFont="1" applyBorder="1" applyAlignment="1" applyProtection="1">
      <alignment horizontal="left"/>
      <protection locked="0"/>
    </xf>
    <xf numFmtId="0" fontId="37" fillId="0" borderId="35" xfId="0" applyFont="1" applyBorder="1" applyAlignment="1" applyProtection="1">
      <alignment horizontal="left"/>
      <protection locked="0"/>
    </xf>
    <xf numFmtId="0" fontId="37" fillId="0" borderId="45" xfId="0" applyFont="1" applyBorder="1" applyAlignment="1" applyProtection="1">
      <alignment horizontal="left"/>
      <protection locked="0"/>
    </xf>
    <xf numFmtId="0" fontId="37" fillId="0" borderId="46" xfId="0" applyFont="1" applyBorder="1" applyAlignment="1" applyProtection="1">
      <alignment horizontal="left" shrinkToFit="1"/>
      <protection locked="0"/>
    </xf>
    <xf numFmtId="0" fontId="37" fillId="0" borderId="36" xfId="0" applyFont="1" applyBorder="1" applyAlignment="1" applyProtection="1">
      <alignment horizontal="left" shrinkToFit="1"/>
      <protection locked="0"/>
    </xf>
    <xf numFmtId="0" fontId="37" fillId="0" borderId="36" xfId="0" applyFont="1" applyBorder="1" applyAlignment="1" applyProtection="1">
      <alignment shrinkToFit="1"/>
      <protection locked="0"/>
    </xf>
    <xf numFmtId="0" fontId="37" fillId="0" borderId="35" xfId="0" applyFont="1" applyBorder="1" applyAlignment="1" applyProtection="1">
      <alignment horizontal="left" shrinkToFit="1"/>
      <protection locked="0"/>
    </xf>
    <xf numFmtId="0" fontId="37" fillId="0" borderId="34" xfId="0" applyFont="1" applyBorder="1" applyAlignment="1" applyProtection="1">
      <alignment horizontal="left" shrinkToFit="1"/>
      <protection locked="0"/>
    </xf>
    <xf numFmtId="0" fontId="37" fillId="0" borderId="45" xfId="0" applyFont="1" applyBorder="1" applyAlignment="1" applyProtection="1">
      <alignment horizontal="left" shrinkToFit="1"/>
      <protection locked="0"/>
    </xf>
    <xf numFmtId="0" fontId="17" fillId="0" borderId="14" xfId="11" applyFont="1" applyBorder="1" applyAlignment="1">
      <alignment horizontal="left" wrapText="1"/>
    </xf>
    <xf numFmtId="0" fontId="24" fillId="0" borderId="14" xfId="7" applyFont="1" applyBorder="1" applyAlignment="1">
      <alignment wrapText="1"/>
    </xf>
    <xf numFmtId="0" fontId="24" fillId="0" borderId="14" xfId="7" applyFont="1" applyBorder="1" applyAlignment="1">
      <alignment shrinkToFit="1"/>
    </xf>
    <xf numFmtId="0" fontId="19" fillId="0" borderId="0" xfId="7" applyFont="1" applyAlignment="1">
      <alignment horizontal="left" shrinkToFit="1"/>
    </xf>
    <xf numFmtId="0" fontId="35" fillId="0" borderId="0" xfId="7" applyFont="1" applyAlignment="1">
      <alignment shrinkToFit="1"/>
    </xf>
    <xf numFmtId="0" fontId="22" fillId="0" borderId="0" xfId="7" applyFont="1" applyAlignment="1">
      <alignment horizontal="center"/>
    </xf>
    <xf numFmtId="0" fontId="22" fillId="0" borderId="0" xfId="7" applyFont="1" applyAlignment="1">
      <alignment horizontal="center" shrinkToFit="1"/>
    </xf>
    <xf numFmtId="0" fontId="21" fillId="3" borderId="31" xfId="3" applyFont="1" applyBorder="1" applyAlignment="1">
      <alignment horizontal="center"/>
    </xf>
    <xf numFmtId="0" fontId="21" fillId="3" borderId="32" xfId="3" applyFont="1" applyBorder="1" applyAlignment="1">
      <alignment horizontal="center"/>
    </xf>
    <xf numFmtId="0" fontId="21" fillId="3" borderId="32" xfId="3" applyFont="1" applyBorder="1" applyAlignment="1">
      <alignment horizontal="center" shrinkToFit="1"/>
    </xf>
    <xf numFmtId="0" fontId="21" fillId="3" borderId="33" xfId="3" applyFont="1" applyBorder="1" applyAlignment="1">
      <alignment horizontal="center"/>
    </xf>
  </cellXfs>
  <cellStyles count="54">
    <cellStyle name="20% - Accent1" xfId="1" builtinId="30" customBuiltin="1"/>
    <cellStyle name="20% - Accent1 2 2" xfId="2" xr:uid="{00000000-0005-0000-0000-000001000000}"/>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3" builtinId="29" customBuiltin="1"/>
    <cellStyle name="Accent2" xfId="33" builtinId="33" hidden="1"/>
    <cellStyle name="Accent3" xfId="37" builtinId="37" hidden="1"/>
    <cellStyle name="Accent4" xfId="41" builtinId="41" hidden="1"/>
    <cellStyle name="Accent5" xfId="45" builtinId="45" hidden="1"/>
    <cellStyle name="Accent6" xfId="49" builtinId="49" hidden="1"/>
    <cellStyle name="Bad" xfId="20" builtinId="27" hidden="1"/>
    <cellStyle name="Calculation" xfId="24" builtinId="22" hidden="1"/>
    <cellStyle name="Check Cell" xfId="26" builtinId="23" hidden="1"/>
    <cellStyle name="Comma" xfId="4" builtinId="3"/>
    <cellStyle name="Comma 2 257" xfId="5" xr:uid="{00000000-0005-0000-0000-00001D000000}"/>
    <cellStyle name="Explanatory Text" xfId="29" builtinId="53" hidden="1"/>
    <cellStyle name="Good" xfId="19" builtinId="26" hidden="1"/>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Neutral" xfId="21" builtinId="28" hidden="1"/>
    <cellStyle name="Normal" xfId="0" builtinId="0"/>
    <cellStyle name="Normal 18" xfId="53" xr:uid="{00000000-0005-0000-0000-000028000000}"/>
    <cellStyle name="Normal 2" xfId="6" xr:uid="{00000000-0005-0000-0000-000029000000}"/>
    <cellStyle name="Normal 4" xfId="7" xr:uid="{00000000-0005-0000-0000-00002A000000}"/>
    <cellStyle name="Normal 5" xfId="8" xr:uid="{00000000-0005-0000-0000-00002B000000}"/>
    <cellStyle name="Normal_control list for DSH survey v1 11282005" xfId="9" xr:uid="{00000000-0005-0000-0000-00002C000000}"/>
    <cellStyle name="Normal_ICF-Private Template M&amp;S 08-20-081" xfId="10" xr:uid="{00000000-0005-0000-0000-00002D000000}"/>
    <cellStyle name="Normal_ICF-Public Template M&amp;S 08-20-081" xfId="11" xr:uid="{00000000-0005-0000-0000-00002E000000}"/>
    <cellStyle name="Normal_Survey" xfId="12" xr:uid="{00000000-0005-0000-0000-00002F000000}"/>
    <cellStyle name="Note" xfId="28" builtinId="10" hidden="1"/>
    <cellStyle name="Output" xfId="23" builtinId="21" hidden="1"/>
    <cellStyle name="Percent" xfId="13" builtinId="5"/>
    <cellStyle name="Title" xfId="14" builtinId="15" hidden="1"/>
    <cellStyle name="Total" xfId="30" builtinId="25" hidden="1"/>
    <cellStyle name="Warning Text" xfId="27" builtinId="11" hidden="1"/>
  </cellStyles>
  <dxfs count="26">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1"/>
      </font>
      <fill>
        <patternFill>
          <bgColor theme="1"/>
        </patternFill>
      </fill>
      <border>
        <left/>
        <right/>
        <top/>
        <bottom/>
      </border>
    </dxf>
    <dxf>
      <font>
        <color theme="1"/>
      </font>
      <fill>
        <patternFill>
          <bgColor theme="1"/>
        </patternFill>
      </fill>
      <border>
        <left/>
        <right/>
        <top/>
        <bottom/>
      </border>
    </dxf>
    <dxf>
      <font>
        <color theme="0"/>
      </font>
      <fill>
        <patternFill>
          <bgColor theme="0"/>
        </patternFill>
      </fill>
      <border>
        <left/>
        <right/>
        <top/>
        <bottom/>
        <vertical/>
        <horizontal/>
      </border>
    </dxf>
    <dxf>
      <font>
        <color theme="0"/>
      </font>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dxf>
    <dxf>
      <font>
        <strike val="0"/>
        <color theme="0"/>
      </font>
    </dxf>
    <dxf>
      <fill>
        <patternFill>
          <bgColor rgb="FFFFC000"/>
        </patternFill>
      </fill>
    </dxf>
    <dxf>
      <fill>
        <patternFill>
          <bgColor theme="1"/>
        </patternFill>
      </fill>
      <border>
        <left/>
        <right/>
        <top/>
        <bottom/>
      </border>
    </dxf>
    <dxf>
      <fill>
        <patternFill>
          <bgColor theme="1"/>
        </patternFill>
      </fill>
      <border>
        <left/>
        <right/>
        <top/>
        <bottom/>
      </border>
    </dxf>
    <dxf>
      <fill>
        <patternFill>
          <bgColor rgb="FFFFFF00"/>
        </patternFill>
      </fill>
    </dxf>
    <dxf>
      <fill>
        <patternFill>
          <bgColor theme="1"/>
        </patternFill>
      </fill>
      <border>
        <left/>
        <right/>
        <top/>
        <bottom/>
      </border>
    </dxf>
    <dxf>
      <fill>
        <patternFill>
          <bgColor rgb="FFFFFF00"/>
        </patternFill>
      </fill>
    </dxf>
    <dxf>
      <font>
        <color theme="0"/>
      </font>
      <fill>
        <patternFill>
          <bgColor theme="0"/>
        </patternFill>
      </fill>
      <border>
        <left/>
        <right/>
        <top/>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ont>
        <color theme="0"/>
      </font>
      <fill>
        <patternFill>
          <bgColor theme="0"/>
        </patternFill>
      </fill>
      <border>
        <left/>
        <right/>
        <top/>
        <bottom/>
        <vertical/>
        <horizontal/>
      </border>
    </dxf>
    <dxf>
      <font>
        <color theme="0"/>
      </font>
      <fill>
        <patternFill patternType="none">
          <bgColor indexed="65"/>
        </patternFill>
      </fill>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57150</xdr:colOff>
          <xdr:row>11</xdr:row>
          <xdr:rowOff>88900</xdr:rowOff>
        </xdr:from>
        <xdr:to>
          <xdr:col>4</xdr:col>
          <xdr:colOff>393700</xdr:colOff>
          <xdr:row>13</xdr:row>
          <xdr:rowOff>38100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000" b="0" i="0" u="none" strike="noStrike" baseline="0">
                  <a:solidFill>
                    <a:srgbClr val="000000"/>
                  </a:solidFill>
                  <a:latin typeface="CG Times (W1)"/>
                </a:rPr>
                <a:t>Run Page Setup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400050</xdr:colOff>
          <xdr:row>15</xdr:row>
          <xdr:rowOff>38100</xdr:rowOff>
        </xdr:from>
        <xdr:to>
          <xdr:col>1</xdr:col>
          <xdr:colOff>3733800</xdr:colOff>
          <xdr:row>15</xdr:row>
          <xdr:rowOff>317500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000" b="0" i="0" u="none" strike="noStrike" baseline="0">
                  <a:solidFill>
                    <a:srgbClr val="000000"/>
                  </a:solidFill>
                  <a:latin typeface="CG Times (W1)"/>
                </a:rPr>
                <a:t>Create Hospital Surveys - Part 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762000</xdr:colOff>
          <xdr:row>11</xdr:row>
          <xdr:rowOff>38100</xdr:rowOff>
        </xdr:from>
        <xdr:to>
          <xdr:col>7</xdr:col>
          <xdr:colOff>831850</xdr:colOff>
          <xdr:row>13</xdr:row>
          <xdr:rowOff>19050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000" b="0" i="0" u="none" strike="noStrike" baseline="0">
                  <a:solidFill>
                    <a:srgbClr val="000000"/>
                  </a:solidFill>
                  <a:latin typeface="CG Times (W1)"/>
                </a:rPr>
                <a:t>Set Output Folder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1"/>
  <dimension ref="A1:AC233"/>
  <sheetViews>
    <sheetView workbookViewId="0">
      <selection activeCell="D12" sqref="D12"/>
    </sheetView>
  </sheetViews>
  <sheetFormatPr defaultRowHeight="13"/>
  <cols>
    <col min="24" max="24" width="18.19921875" customWidth="1"/>
  </cols>
  <sheetData>
    <row r="1" spans="1:29">
      <c r="A1" s="244" t="s">
        <v>545</v>
      </c>
      <c r="B1" s="244" t="s">
        <v>546</v>
      </c>
      <c r="C1" s="244" t="s">
        <v>547</v>
      </c>
      <c r="D1" s="244" t="s">
        <v>548</v>
      </c>
      <c r="E1" s="244" t="s">
        <v>549</v>
      </c>
      <c r="F1" s="244" t="s">
        <v>550</v>
      </c>
      <c r="G1" s="244" t="s">
        <v>551</v>
      </c>
      <c r="H1" s="244" t="s">
        <v>552</v>
      </c>
      <c r="I1" s="244" t="s">
        <v>553</v>
      </c>
      <c r="J1" s="244" t="s">
        <v>554</v>
      </c>
      <c r="K1" s="244" t="s">
        <v>555</v>
      </c>
      <c r="L1" s="244" t="s">
        <v>556</v>
      </c>
      <c r="M1" s="244" t="s">
        <v>557</v>
      </c>
      <c r="N1" s="244" t="s">
        <v>558</v>
      </c>
      <c r="O1" s="244" t="s">
        <v>559</v>
      </c>
      <c r="P1" s="244" t="s">
        <v>560</v>
      </c>
      <c r="Q1" s="244" t="s">
        <v>561</v>
      </c>
      <c r="R1" s="244" t="s">
        <v>562</v>
      </c>
      <c r="S1" s="244" t="s">
        <v>563</v>
      </c>
      <c r="T1" s="244" t="s">
        <v>564</v>
      </c>
      <c r="U1" s="244" t="s">
        <v>565</v>
      </c>
      <c r="V1" s="244" t="s">
        <v>566</v>
      </c>
      <c r="W1" s="244" t="s">
        <v>567</v>
      </c>
      <c r="X1" s="244" t="s">
        <v>568</v>
      </c>
      <c r="Y1" s="244" t="s">
        <v>569</v>
      </c>
      <c r="Z1" s="244" t="s">
        <v>570</v>
      </c>
      <c r="AA1" s="244" t="s">
        <v>571</v>
      </c>
      <c r="AB1" s="244" t="s">
        <v>572</v>
      </c>
      <c r="AC1" s="244" t="s">
        <v>573</v>
      </c>
    </row>
    <row r="2" spans="1:29">
      <c r="A2">
        <v>1</v>
      </c>
      <c r="B2" t="s">
        <v>628</v>
      </c>
      <c r="C2" t="s">
        <v>629</v>
      </c>
      <c r="D2" t="s">
        <v>417</v>
      </c>
      <c r="E2" t="s">
        <v>630</v>
      </c>
      <c r="U2" t="b">
        <v>1</v>
      </c>
      <c r="V2" t="s">
        <v>244</v>
      </c>
      <c r="W2" t="s">
        <v>409</v>
      </c>
      <c r="X2" t="s">
        <v>986</v>
      </c>
      <c r="Y2">
        <v>1</v>
      </c>
      <c r="Z2">
        <v>215</v>
      </c>
      <c r="AA2">
        <v>1</v>
      </c>
      <c r="AB2">
        <v>20</v>
      </c>
      <c r="AC2">
        <v>7</v>
      </c>
    </row>
    <row r="3" spans="1:29">
      <c r="A3">
        <v>2</v>
      </c>
      <c r="B3" t="s">
        <v>631</v>
      </c>
      <c r="C3" t="s">
        <v>632</v>
      </c>
      <c r="U3" t="b">
        <v>1</v>
      </c>
      <c r="V3" t="s">
        <v>244</v>
      </c>
      <c r="W3" t="s">
        <v>409</v>
      </c>
      <c r="X3" t="s">
        <v>987</v>
      </c>
      <c r="Y3">
        <v>2</v>
      </c>
      <c r="Z3">
        <v>215</v>
      </c>
      <c r="AA3">
        <v>1</v>
      </c>
      <c r="AB3">
        <v>20</v>
      </c>
      <c r="AC3">
        <v>7</v>
      </c>
    </row>
    <row r="4" spans="1:29">
      <c r="A4">
        <v>3</v>
      </c>
      <c r="B4" t="s">
        <v>633</v>
      </c>
      <c r="C4" t="s">
        <v>634</v>
      </c>
      <c r="U4" t="b">
        <v>1</v>
      </c>
      <c r="V4" t="s">
        <v>244</v>
      </c>
      <c r="W4" t="s">
        <v>409</v>
      </c>
      <c r="X4" t="s">
        <v>988</v>
      </c>
      <c r="Y4">
        <v>2</v>
      </c>
      <c r="Z4">
        <v>215</v>
      </c>
      <c r="AA4">
        <v>12</v>
      </c>
      <c r="AB4">
        <v>12</v>
      </c>
      <c r="AC4">
        <v>7</v>
      </c>
    </row>
    <row r="5" spans="1:29">
      <c r="A5">
        <v>4</v>
      </c>
      <c r="B5" t="s">
        <v>635</v>
      </c>
      <c r="C5" t="s">
        <v>636</v>
      </c>
      <c r="G5" t="s">
        <v>651</v>
      </c>
      <c r="J5" t="s">
        <v>618</v>
      </c>
      <c r="K5">
        <v>0</v>
      </c>
      <c r="N5" t="b">
        <v>1</v>
      </c>
      <c r="O5" t="b">
        <v>0</v>
      </c>
      <c r="P5" t="b">
        <v>0</v>
      </c>
      <c r="Q5">
        <v>20</v>
      </c>
      <c r="R5">
        <v>0</v>
      </c>
      <c r="S5">
        <v>1</v>
      </c>
      <c r="T5">
        <v>19</v>
      </c>
      <c r="U5" t="b">
        <v>1</v>
      </c>
      <c r="V5" t="s">
        <v>244</v>
      </c>
      <c r="W5" t="s">
        <v>409</v>
      </c>
      <c r="X5" t="s">
        <v>989</v>
      </c>
      <c r="Y5">
        <v>22</v>
      </c>
      <c r="Z5">
        <v>22</v>
      </c>
      <c r="AA5">
        <v>12</v>
      </c>
      <c r="AB5">
        <v>12</v>
      </c>
      <c r="AC5">
        <v>7</v>
      </c>
    </row>
    <row r="6" spans="1:29">
      <c r="A6">
        <v>5</v>
      </c>
      <c r="B6" t="s">
        <v>635</v>
      </c>
      <c r="C6" t="s">
        <v>637</v>
      </c>
      <c r="G6" t="s">
        <v>652</v>
      </c>
      <c r="J6" t="s">
        <v>618</v>
      </c>
      <c r="K6">
        <v>0</v>
      </c>
      <c r="N6" t="b">
        <v>1</v>
      </c>
      <c r="O6" t="b">
        <v>0</v>
      </c>
      <c r="P6" t="b">
        <v>0</v>
      </c>
      <c r="Q6">
        <v>20</v>
      </c>
      <c r="R6">
        <v>0</v>
      </c>
      <c r="S6">
        <v>1</v>
      </c>
      <c r="T6">
        <v>19</v>
      </c>
      <c r="U6" t="b">
        <v>1</v>
      </c>
      <c r="V6" t="s">
        <v>244</v>
      </c>
      <c r="W6" t="s">
        <v>409</v>
      </c>
      <c r="X6" t="s">
        <v>990</v>
      </c>
      <c r="Y6">
        <v>26</v>
      </c>
      <c r="Z6">
        <v>26</v>
      </c>
      <c r="AA6">
        <v>12</v>
      </c>
      <c r="AB6">
        <v>12</v>
      </c>
      <c r="AC6">
        <v>7</v>
      </c>
    </row>
    <row r="7" spans="1:29">
      <c r="A7">
        <v>6</v>
      </c>
      <c r="B7" t="s">
        <v>635</v>
      </c>
      <c r="C7" t="s">
        <v>638</v>
      </c>
      <c r="G7" t="s">
        <v>653</v>
      </c>
      <c r="J7" t="s">
        <v>618</v>
      </c>
      <c r="K7">
        <v>0</v>
      </c>
      <c r="N7" t="b">
        <v>1</v>
      </c>
      <c r="O7" t="b">
        <v>0</v>
      </c>
      <c r="P7" t="b">
        <v>0</v>
      </c>
      <c r="Q7">
        <v>20</v>
      </c>
      <c r="R7">
        <v>0</v>
      </c>
      <c r="S7">
        <v>1</v>
      </c>
      <c r="T7">
        <v>19</v>
      </c>
      <c r="U7" t="b">
        <v>1</v>
      </c>
      <c r="V7" t="s">
        <v>244</v>
      </c>
      <c r="W7" t="s">
        <v>409</v>
      </c>
      <c r="X7" t="s">
        <v>991</v>
      </c>
      <c r="Y7">
        <v>32</v>
      </c>
      <c r="Z7">
        <v>32</v>
      </c>
      <c r="AA7">
        <v>12</v>
      </c>
      <c r="AB7">
        <v>12</v>
      </c>
      <c r="AC7">
        <v>7</v>
      </c>
    </row>
    <row r="8" spans="1:29">
      <c r="A8">
        <v>7</v>
      </c>
      <c r="B8" t="s">
        <v>635</v>
      </c>
      <c r="C8" t="s">
        <v>639</v>
      </c>
      <c r="G8" t="s">
        <v>654</v>
      </c>
      <c r="J8" t="s">
        <v>618</v>
      </c>
      <c r="K8">
        <v>0</v>
      </c>
      <c r="N8" t="b">
        <v>1</v>
      </c>
      <c r="O8" t="b">
        <v>0</v>
      </c>
      <c r="P8" t="b">
        <v>0</v>
      </c>
      <c r="Q8">
        <v>20</v>
      </c>
      <c r="R8">
        <v>0</v>
      </c>
      <c r="S8">
        <v>1</v>
      </c>
      <c r="T8">
        <v>19</v>
      </c>
      <c r="U8" t="b">
        <v>1</v>
      </c>
      <c r="V8" t="s">
        <v>244</v>
      </c>
      <c r="W8" t="s">
        <v>409</v>
      </c>
      <c r="X8" t="s">
        <v>992</v>
      </c>
      <c r="Y8">
        <v>36</v>
      </c>
      <c r="Z8">
        <v>36</v>
      </c>
      <c r="AA8">
        <v>12</v>
      </c>
      <c r="AB8">
        <v>12</v>
      </c>
      <c r="AC8">
        <v>7</v>
      </c>
    </row>
    <row r="9" spans="1:29">
      <c r="A9">
        <v>8</v>
      </c>
      <c r="B9" t="s">
        <v>635</v>
      </c>
      <c r="C9" t="s">
        <v>640</v>
      </c>
      <c r="G9" t="s">
        <v>655</v>
      </c>
      <c r="J9" t="s">
        <v>618</v>
      </c>
      <c r="K9">
        <v>0</v>
      </c>
      <c r="N9" t="b">
        <v>1</v>
      </c>
      <c r="O9" t="b">
        <v>0</v>
      </c>
      <c r="P9" t="b">
        <v>0</v>
      </c>
      <c r="Q9">
        <v>20</v>
      </c>
      <c r="R9">
        <v>0</v>
      </c>
      <c r="S9">
        <v>1</v>
      </c>
      <c r="T9">
        <v>19</v>
      </c>
      <c r="U9" t="b">
        <v>1</v>
      </c>
      <c r="V9" t="s">
        <v>244</v>
      </c>
      <c r="W9" t="s">
        <v>409</v>
      </c>
      <c r="X9" t="s">
        <v>993</v>
      </c>
      <c r="Y9">
        <v>40</v>
      </c>
      <c r="Z9">
        <v>40</v>
      </c>
      <c r="AA9">
        <v>12</v>
      </c>
      <c r="AB9">
        <v>12</v>
      </c>
      <c r="AC9">
        <v>7</v>
      </c>
    </row>
    <row r="10" spans="1:29">
      <c r="A10">
        <v>9</v>
      </c>
      <c r="B10" t="s">
        <v>635</v>
      </c>
      <c r="C10" t="s">
        <v>641</v>
      </c>
      <c r="G10" t="s">
        <v>656</v>
      </c>
      <c r="J10" t="s">
        <v>618</v>
      </c>
      <c r="K10">
        <v>0</v>
      </c>
      <c r="N10" t="b">
        <v>1</v>
      </c>
      <c r="O10" t="b">
        <v>0</v>
      </c>
      <c r="P10" t="b">
        <v>0</v>
      </c>
      <c r="Q10">
        <v>20</v>
      </c>
      <c r="R10">
        <v>0</v>
      </c>
      <c r="S10">
        <v>1</v>
      </c>
      <c r="T10">
        <v>19</v>
      </c>
      <c r="U10" t="b">
        <v>1</v>
      </c>
      <c r="V10" t="s">
        <v>244</v>
      </c>
      <c r="W10" t="s">
        <v>409</v>
      </c>
      <c r="X10" t="s">
        <v>994</v>
      </c>
      <c r="Y10">
        <v>43</v>
      </c>
      <c r="Z10">
        <v>43</v>
      </c>
      <c r="AA10">
        <v>12</v>
      </c>
      <c r="AB10">
        <v>12</v>
      </c>
      <c r="AC10">
        <v>7</v>
      </c>
    </row>
    <row r="11" spans="1:29">
      <c r="A11">
        <v>10</v>
      </c>
      <c r="B11" t="s">
        <v>635</v>
      </c>
      <c r="C11" t="s">
        <v>642</v>
      </c>
      <c r="G11" t="s">
        <v>657</v>
      </c>
      <c r="J11" t="s">
        <v>618</v>
      </c>
      <c r="K11">
        <v>0</v>
      </c>
      <c r="N11" t="b">
        <v>1</v>
      </c>
      <c r="O11" t="b">
        <v>0</v>
      </c>
      <c r="P11" t="b">
        <v>0</v>
      </c>
      <c r="Q11">
        <v>20</v>
      </c>
      <c r="R11">
        <v>0</v>
      </c>
      <c r="S11">
        <v>1</v>
      </c>
      <c r="T11">
        <v>19</v>
      </c>
      <c r="U11" t="b">
        <v>1</v>
      </c>
      <c r="V11" t="s">
        <v>244</v>
      </c>
      <c r="W11" t="s">
        <v>409</v>
      </c>
      <c r="X11" t="s">
        <v>995</v>
      </c>
      <c r="Y11">
        <v>46</v>
      </c>
      <c r="Z11">
        <v>46</v>
      </c>
      <c r="AA11">
        <v>12</v>
      </c>
      <c r="AB11">
        <v>12</v>
      </c>
      <c r="AC11">
        <v>7</v>
      </c>
    </row>
    <row r="12" spans="1:29">
      <c r="A12">
        <v>11</v>
      </c>
      <c r="B12" t="s">
        <v>635</v>
      </c>
      <c r="C12" t="s">
        <v>643</v>
      </c>
      <c r="G12" t="s">
        <v>658</v>
      </c>
      <c r="J12" t="s">
        <v>618</v>
      </c>
      <c r="K12">
        <v>0</v>
      </c>
      <c r="N12" t="b">
        <v>1</v>
      </c>
      <c r="O12" t="b">
        <v>0</v>
      </c>
      <c r="P12" t="b">
        <v>0</v>
      </c>
      <c r="Q12">
        <v>20</v>
      </c>
      <c r="R12">
        <v>0</v>
      </c>
      <c r="S12">
        <v>1</v>
      </c>
      <c r="T12">
        <v>19</v>
      </c>
      <c r="U12" t="b">
        <v>1</v>
      </c>
      <c r="V12" t="s">
        <v>244</v>
      </c>
      <c r="W12" t="s">
        <v>409</v>
      </c>
      <c r="X12" t="s">
        <v>996</v>
      </c>
      <c r="Y12">
        <v>51</v>
      </c>
      <c r="Z12">
        <v>51</v>
      </c>
      <c r="AA12">
        <v>12</v>
      </c>
      <c r="AB12">
        <v>12</v>
      </c>
      <c r="AC12">
        <v>7</v>
      </c>
    </row>
    <row r="13" spans="1:29">
      <c r="A13">
        <v>12</v>
      </c>
      <c r="B13" t="s">
        <v>635</v>
      </c>
      <c r="C13" t="s">
        <v>644</v>
      </c>
      <c r="G13" t="s">
        <v>659</v>
      </c>
      <c r="J13" t="s">
        <v>618</v>
      </c>
      <c r="K13">
        <v>0</v>
      </c>
      <c r="N13" t="b">
        <v>1</v>
      </c>
      <c r="O13" t="b">
        <v>0</v>
      </c>
      <c r="P13" t="b">
        <v>0</v>
      </c>
      <c r="Q13">
        <v>20</v>
      </c>
      <c r="R13">
        <v>0</v>
      </c>
      <c r="S13">
        <v>1</v>
      </c>
      <c r="T13">
        <v>19</v>
      </c>
      <c r="U13" t="b">
        <v>1</v>
      </c>
      <c r="V13" t="s">
        <v>244</v>
      </c>
      <c r="W13" t="s">
        <v>409</v>
      </c>
      <c r="X13" t="s">
        <v>997</v>
      </c>
      <c r="Y13">
        <v>56</v>
      </c>
      <c r="Z13">
        <v>56</v>
      </c>
      <c r="AA13">
        <v>12</v>
      </c>
      <c r="AB13">
        <v>12</v>
      </c>
      <c r="AC13">
        <v>7</v>
      </c>
    </row>
    <row r="14" spans="1:29">
      <c r="A14">
        <v>13</v>
      </c>
      <c r="B14" t="s">
        <v>635</v>
      </c>
      <c r="C14" t="s">
        <v>645</v>
      </c>
      <c r="G14" t="s">
        <v>660</v>
      </c>
      <c r="J14" t="s">
        <v>618</v>
      </c>
      <c r="K14">
        <v>0</v>
      </c>
      <c r="N14" t="b">
        <v>1</v>
      </c>
      <c r="O14" t="b">
        <v>0</v>
      </c>
      <c r="P14" t="b">
        <v>0</v>
      </c>
      <c r="Q14">
        <v>20</v>
      </c>
      <c r="R14">
        <v>0</v>
      </c>
      <c r="S14">
        <v>1</v>
      </c>
      <c r="T14">
        <v>19</v>
      </c>
      <c r="U14" t="b">
        <v>1</v>
      </c>
      <c r="V14" t="s">
        <v>244</v>
      </c>
      <c r="W14" t="s">
        <v>409</v>
      </c>
      <c r="X14" t="s">
        <v>998</v>
      </c>
      <c r="Y14">
        <v>61</v>
      </c>
      <c r="Z14">
        <v>61</v>
      </c>
      <c r="AA14">
        <v>12</v>
      </c>
      <c r="AB14">
        <v>12</v>
      </c>
      <c r="AC14">
        <v>7</v>
      </c>
    </row>
    <row r="15" spans="1:29">
      <c r="A15">
        <v>14</v>
      </c>
      <c r="B15" t="s">
        <v>635</v>
      </c>
      <c r="C15" t="s">
        <v>646</v>
      </c>
      <c r="G15" t="s">
        <v>661</v>
      </c>
      <c r="J15" t="s">
        <v>618</v>
      </c>
      <c r="K15">
        <v>0</v>
      </c>
      <c r="N15" t="b">
        <v>1</v>
      </c>
      <c r="O15" t="b">
        <v>0</v>
      </c>
      <c r="P15" t="b">
        <v>0</v>
      </c>
      <c r="Q15">
        <v>20</v>
      </c>
      <c r="R15">
        <v>0</v>
      </c>
      <c r="S15">
        <v>1</v>
      </c>
      <c r="T15">
        <v>19</v>
      </c>
      <c r="U15" t="b">
        <v>1</v>
      </c>
      <c r="V15" t="s">
        <v>244</v>
      </c>
      <c r="W15" t="s">
        <v>409</v>
      </c>
      <c r="X15" t="s">
        <v>999</v>
      </c>
      <c r="Y15">
        <v>65</v>
      </c>
      <c r="Z15">
        <v>65</v>
      </c>
      <c r="AA15">
        <v>12</v>
      </c>
      <c r="AB15">
        <v>12</v>
      </c>
      <c r="AC15">
        <v>7</v>
      </c>
    </row>
    <row r="16" spans="1:29">
      <c r="A16">
        <v>15</v>
      </c>
      <c r="B16" t="s">
        <v>635</v>
      </c>
      <c r="C16" t="s">
        <v>647</v>
      </c>
      <c r="G16" t="s">
        <v>662</v>
      </c>
      <c r="J16" t="s">
        <v>618</v>
      </c>
      <c r="K16">
        <v>0</v>
      </c>
      <c r="N16" t="b">
        <v>1</v>
      </c>
      <c r="O16" t="b">
        <v>0</v>
      </c>
      <c r="P16" t="b">
        <v>0</v>
      </c>
      <c r="Q16">
        <v>20</v>
      </c>
      <c r="R16">
        <v>0</v>
      </c>
      <c r="S16">
        <v>1</v>
      </c>
      <c r="T16">
        <v>19</v>
      </c>
      <c r="U16" t="b">
        <v>1</v>
      </c>
      <c r="V16" t="s">
        <v>244</v>
      </c>
      <c r="W16" t="s">
        <v>409</v>
      </c>
      <c r="X16" t="s">
        <v>1000</v>
      </c>
      <c r="Y16">
        <v>69</v>
      </c>
      <c r="Z16">
        <v>69</v>
      </c>
      <c r="AA16">
        <v>12</v>
      </c>
      <c r="AB16">
        <v>12</v>
      </c>
      <c r="AC16">
        <v>7</v>
      </c>
    </row>
    <row r="17" spans="1:29">
      <c r="A17">
        <v>16</v>
      </c>
      <c r="B17" t="s">
        <v>635</v>
      </c>
      <c r="C17" t="s">
        <v>648</v>
      </c>
      <c r="G17" t="s">
        <v>663</v>
      </c>
      <c r="J17" t="s">
        <v>618</v>
      </c>
      <c r="K17">
        <v>0</v>
      </c>
      <c r="N17" t="b">
        <v>1</v>
      </c>
      <c r="O17" t="b">
        <v>0</v>
      </c>
      <c r="P17" t="b">
        <v>0</v>
      </c>
      <c r="Q17">
        <v>20</v>
      </c>
      <c r="R17">
        <v>0</v>
      </c>
      <c r="S17">
        <v>1</v>
      </c>
      <c r="T17">
        <v>19</v>
      </c>
      <c r="U17" t="b">
        <v>1</v>
      </c>
      <c r="V17" t="s">
        <v>244</v>
      </c>
      <c r="W17" t="s">
        <v>409</v>
      </c>
      <c r="X17" t="s">
        <v>1001</v>
      </c>
      <c r="Y17">
        <v>73</v>
      </c>
      <c r="Z17">
        <v>73</v>
      </c>
      <c r="AA17">
        <v>12</v>
      </c>
      <c r="AB17">
        <v>12</v>
      </c>
      <c r="AC17">
        <v>7</v>
      </c>
    </row>
    <row r="18" spans="1:29">
      <c r="A18">
        <v>17</v>
      </c>
      <c r="B18" t="s">
        <v>635</v>
      </c>
      <c r="C18" t="s">
        <v>649</v>
      </c>
      <c r="G18" t="s">
        <v>664</v>
      </c>
      <c r="J18" t="s">
        <v>618</v>
      </c>
      <c r="K18">
        <v>0</v>
      </c>
      <c r="N18" t="b">
        <v>1</v>
      </c>
      <c r="O18" t="b">
        <v>0</v>
      </c>
      <c r="P18" t="b">
        <v>0</v>
      </c>
      <c r="Q18">
        <v>20</v>
      </c>
      <c r="R18">
        <v>0</v>
      </c>
      <c r="S18">
        <v>1</v>
      </c>
      <c r="T18">
        <v>19</v>
      </c>
      <c r="U18" t="b">
        <v>1</v>
      </c>
      <c r="V18" t="s">
        <v>244</v>
      </c>
      <c r="W18" t="s">
        <v>409</v>
      </c>
      <c r="X18" t="s">
        <v>1002</v>
      </c>
      <c r="Y18">
        <v>77</v>
      </c>
      <c r="Z18">
        <v>77</v>
      </c>
      <c r="AA18">
        <v>12</v>
      </c>
      <c r="AB18">
        <v>12</v>
      </c>
      <c r="AC18">
        <v>7</v>
      </c>
    </row>
    <row r="19" spans="1:29">
      <c r="A19">
        <v>18</v>
      </c>
      <c r="B19" t="s">
        <v>635</v>
      </c>
      <c r="C19" t="s">
        <v>650</v>
      </c>
      <c r="G19" t="s">
        <v>665</v>
      </c>
      <c r="J19" t="s">
        <v>618</v>
      </c>
      <c r="K19">
        <v>0</v>
      </c>
      <c r="N19" t="b">
        <v>1</v>
      </c>
      <c r="O19" t="b">
        <v>0</v>
      </c>
      <c r="P19" t="b">
        <v>0</v>
      </c>
      <c r="Q19">
        <v>20</v>
      </c>
      <c r="R19">
        <v>0</v>
      </c>
      <c r="S19">
        <v>1</v>
      </c>
      <c r="T19">
        <v>19</v>
      </c>
      <c r="U19" t="b">
        <v>1</v>
      </c>
      <c r="V19" t="s">
        <v>244</v>
      </c>
      <c r="W19" t="s">
        <v>409</v>
      </c>
      <c r="X19" t="s">
        <v>1003</v>
      </c>
      <c r="Y19">
        <v>79</v>
      </c>
      <c r="Z19">
        <v>79</v>
      </c>
      <c r="AA19">
        <v>12</v>
      </c>
      <c r="AB19">
        <v>12</v>
      </c>
      <c r="AC19">
        <v>7</v>
      </c>
    </row>
    <row r="20" spans="1:29">
      <c r="A20">
        <v>19</v>
      </c>
      <c r="B20" t="s">
        <v>635</v>
      </c>
      <c r="C20" t="s">
        <v>666</v>
      </c>
      <c r="G20" t="s">
        <v>667</v>
      </c>
      <c r="J20" t="s">
        <v>618</v>
      </c>
      <c r="K20">
        <v>0</v>
      </c>
      <c r="N20" t="b">
        <v>1</v>
      </c>
      <c r="O20" t="b">
        <v>0</v>
      </c>
      <c r="P20" t="b">
        <v>0</v>
      </c>
      <c r="Q20">
        <v>20</v>
      </c>
      <c r="R20">
        <v>0</v>
      </c>
      <c r="S20">
        <v>1</v>
      </c>
      <c r="T20">
        <v>19</v>
      </c>
      <c r="U20" t="b">
        <v>1</v>
      </c>
      <c r="V20" t="s">
        <v>244</v>
      </c>
      <c r="W20" t="s">
        <v>409</v>
      </c>
      <c r="X20" t="s">
        <v>1004</v>
      </c>
      <c r="Y20">
        <v>87</v>
      </c>
      <c r="Z20">
        <v>87</v>
      </c>
      <c r="AA20">
        <v>12</v>
      </c>
      <c r="AB20">
        <v>12</v>
      </c>
      <c r="AC20">
        <v>7</v>
      </c>
    </row>
    <row r="21" spans="1:29">
      <c r="A21">
        <v>20</v>
      </c>
      <c r="B21" t="s">
        <v>635</v>
      </c>
      <c r="C21" t="s">
        <v>668</v>
      </c>
      <c r="G21" t="s">
        <v>669</v>
      </c>
      <c r="J21" t="s">
        <v>618</v>
      </c>
      <c r="K21">
        <v>0</v>
      </c>
      <c r="N21" t="b">
        <v>1</v>
      </c>
      <c r="O21" t="b">
        <v>0</v>
      </c>
      <c r="P21" t="b">
        <v>0</v>
      </c>
      <c r="Q21">
        <v>20</v>
      </c>
      <c r="R21">
        <v>0</v>
      </c>
      <c r="S21">
        <v>1</v>
      </c>
      <c r="T21">
        <v>19</v>
      </c>
      <c r="U21" t="b">
        <v>1</v>
      </c>
      <c r="V21" t="s">
        <v>244</v>
      </c>
      <c r="W21" t="s">
        <v>409</v>
      </c>
      <c r="X21" t="s">
        <v>1005</v>
      </c>
      <c r="Y21">
        <v>102</v>
      </c>
      <c r="Z21">
        <v>102</v>
      </c>
      <c r="AA21">
        <v>12</v>
      </c>
      <c r="AB21">
        <v>12</v>
      </c>
      <c r="AC21">
        <v>7</v>
      </c>
    </row>
    <row r="22" spans="1:29">
      <c r="A22">
        <v>21</v>
      </c>
      <c r="B22" t="s">
        <v>635</v>
      </c>
      <c r="C22" t="s">
        <v>670</v>
      </c>
      <c r="G22" t="s">
        <v>671</v>
      </c>
      <c r="J22" t="s">
        <v>618</v>
      </c>
      <c r="K22">
        <v>0</v>
      </c>
      <c r="N22" t="b">
        <v>1</v>
      </c>
      <c r="O22" t="b">
        <v>0</v>
      </c>
      <c r="P22" t="b">
        <v>0</v>
      </c>
      <c r="Q22">
        <v>20</v>
      </c>
      <c r="R22">
        <v>0</v>
      </c>
      <c r="S22">
        <v>1</v>
      </c>
      <c r="T22">
        <v>19</v>
      </c>
      <c r="U22" t="b">
        <v>1</v>
      </c>
      <c r="V22" t="s">
        <v>244</v>
      </c>
      <c r="W22" t="s">
        <v>409</v>
      </c>
      <c r="X22" t="s">
        <v>1006</v>
      </c>
      <c r="Y22">
        <v>105</v>
      </c>
      <c r="Z22">
        <v>105</v>
      </c>
      <c r="AA22">
        <v>12</v>
      </c>
      <c r="AB22">
        <v>12</v>
      </c>
      <c r="AC22">
        <v>7</v>
      </c>
    </row>
    <row r="23" spans="1:29">
      <c r="A23">
        <v>22</v>
      </c>
      <c r="B23" t="s">
        <v>635</v>
      </c>
      <c r="C23" t="s">
        <v>672</v>
      </c>
      <c r="G23" t="s">
        <v>673</v>
      </c>
      <c r="J23" t="s">
        <v>618</v>
      </c>
      <c r="K23">
        <v>0</v>
      </c>
      <c r="N23" t="b">
        <v>1</v>
      </c>
      <c r="O23" t="b">
        <v>0</v>
      </c>
      <c r="P23" t="b">
        <v>0</v>
      </c>
      <c r="Q23">
        <v>20</v>
      </c>
      <c r="R23">
        <v>0</v>
      </c>
      <c r="S23">
        <v>1</v>
      </c>
      <c r="T23">
        <v>19</v>
      </c>
      <c r="U23" t="b">
        <v>1</v>
      </c>
      <c r="V23" t="s">
        <v>244</v>
      </c>
      <c r="W23" t="s">
        <v>409</v>
      </c>
      <c r="X23" t="s">
        <v>1007</v>
      </c>
      <c r="Y23">
        <v>117</v>
      </c>
      <c r="Z23">
        <v>117</v>
      </c>
      <c r="AA23">
        <v>12</v>
      </c>
      <c r="AB23">
        <v>12</v>
      </c>
      <c r="AC23">
        <v>7</v>
      </c>
    </row>
    <row r="24" spans="1:29">
      <c r="A24">
        <v>23</v>
      </c>
      <c r="B24" t="s">
        <v>635</v>
      </c>
      <c r="C24" t="s">
        <v>674</v>
      </c>
      <c r="G24" t="s">
        <v>675</v>
      </c>
      <c r="J24" t="s">
        <v>618</v>
      </c>
      <c r="K24">
        <v>0</v>
      </c>
      <c r="N24" t="b">
        <v>1</v>
      </c>
      <c r="O24" t="b">
        <v>0</v>
      </c>
      <c r="P24" t="b">
        <v>0</v>
      </c>
      <c r="Q24">
        <v>20</v>
      </c>
      <c r="R24">
        <v>0</v>
      </c>
      <c r="S24">
        <v>1</v>
      </c>
      <c r="T24">
        <v>19</v>
      </c>
      <c r="U24" t="b">
        <v>1</v>
      </c>
      <c r="V24" t="s">
        <v>244</v>
      </c>
      <c r="W24" t="s">
        <v>409</v>
      </c>
      <c r="X24" t="s">
        <v>1008</v>
      </c>
      <c r="Y24">
        <v>120</v>
      </c>
      <c r="Z24">
        <v>120</v>
      </c>
      <c r="AA24">
        <v>12</v>
      </c>
      <c r="AB24">
        <v>12</v>
      </c>
      <c r="AC24">
        <v>7</v>
      </c>
    </row>
    <row r="25" spans="1:29">
      <c r="A25">
        <v>24</v>
      </c>
      <c r="B25" t="s">
        <v>635</v>
      </c>
      <c r="C25" t="s">
        <v>676</v>
      </c>
      <c r="G25" t="s">
        <v>677</v>
      </c>
      <c r="J25" t="s">
        <v>618</v>
      </c>
      <c r="K25">
        <v>0</v>
      </c>
      <c r="N25" t="b">
        <v>1</v>
      </c>
      <c r="O25" t="b">
        <v>0</v>
      </c>
      <c r="P25" t="b">
        <v>0</v>
      </c>
      <c r="Q25">
        <v>20</v>
      </c>
      <c r="R25">
        <v>0</v>
      </c>
      <c r="S25">
        <v>1</v>
      </c>
      <c r="T25">
        <v>19</v>
      </c>
      <c r="U25" t="b">
        <v>1</v>
      </c>
      <c r="V25" t="s">
        <v>244</v>
      </c>
      <c r="W25" t="s">
        <v>409</v>
      </c>
      <c r="X25" t="s">
        <v>1009</v>
      </c>
      <c r="Y25">
        <v>125</v>
      </c>
      <c r="Z25">
        <v>125</v>
      </c>
      <c r="AA25">
        <v>12</v>
      </c>
      <c r="AB25">
        <v>12</v>
      </c>
      <c r="AC25">
        <v>7</v>
      </c>
    </row>
    <row r="26" spans="1:29">
      <c r="A26">
        <v>25</v>
      </c>
      <c r="B26" t="s">
        <v>635</v>
      </c>
      <c r="C26" t="s">
        <v>678</v>
      </c>
      <c r="G26" t="s">
        <v>679</v>
      </c>
      <c r="J26" t="s">
        <v>618</v>
      </c>
      <c r="K26">
        <v>0</v>
      </c>
      <c r="N26" t="b">
        <v>1</v>
      </c>
      <c r="O26" t="b">
        <v>0</v>
      </c>
      <c r="P26" t="b">
        <v>0</v>
      </c>
      <c r="Q26">
        <v>20</v>
      </c>
      <c r="R26">
        <v>0</v>
      </c>
      <c r="S26">
        <v>1</v>
      </c>
      <c r="T26">
        <v>19</v>
      </c>
      <c r="U26" t="b">
        <v>1</v>
      </c>
      <c r="V26" t="s">
        <v>244</v>
      </c>
      <c r="W26" t="s">
        <v>409</v>
      </c>
      <c r="X26" t="s">
        <v>1010</v>
      </c>
      <c r="Y26">
        <v>127</v>
      </c>
      <c r="Z26">
        <v>127</v>
      </c>
      <c r="AA26">
        <v>12</v>
      </c>
      <c r="AB26">
        <v>12</v>
      </c>
      <c r="AC26">
        <v>7</v>
      </c>
    </row>
    <row r="27" spans="1:29">
      <c r="A27">
        <v>26</v>
      </c>
      <c r="B27" t="s">
        <v>635</v>
      </c>
      <c r="C27" t="s">
        <v>680</v>
      </c>
      <c r="G27" t="s">
        <v>681</v>
      </c>
      <c r="J27" t="s">
        <v>618</v>
      </c>
      <c r="K27">
        <v>0</v>
      </c>
      <c r="N27" t="b">
        <v>1</v>
      </c>
      <c r="O27" t="b">
        <v>0</v>
      </c>
      <c r="P27" t="b">
        <v>0</v>
      </c>
      <c r="Q27">
        <v>20</v>
      </c>
      <c r="R27">
        <v>0</v>
      </c>
      <c r="S27">
        <v>1</v>
      </c>
      <c r="T27">
        <v>19</v>
      </c>
      <c r="U27" t="b">
        <v>1</v>
      </c>
      <c r="V27" t="s">
        <v>244</v>
      </c>
      <c r="W27" t="s">
        <v>409</v>
      </c>
      <c r="X27" t="s">
        <v>1011</v>
      </c>
      <c r="Y27">
        <v>143</v>
      </c>
      <c r="Z27">
        <v>143</v>
      </c>
      <c r="AA27">
        <v>12</v>
      </c>
      <c r="AB27">
        <v>12</v>
      </c>
      <c r="AC27">
        <v>7</v>
      </c>
    </row>
    <row r="28" spans="1:29">
      <c r="A28">
        <v>27</v>
      </c>
      <c r="B28" t="s">
        <v>635</v>
      </c>
      <c r="C28" t="s">
        <v>682</v>
      </c>
      <c r="G28" t="s">
        <v>683</v>
      </c>
      <c r="J28" t="s">
        <v>618</v>
      </c>
      <c r="K28">
        <v>0</v>
      </c>
      <c r="N28" t="b">
        <v>1</v>
      </c>
      <c r="O28" t="b">
        <v>0</v>
      </c>
      <c r="P28" t="b">
        <v>0</v>
      </c>
      <c r="Q28">
        <v>20</v>
      </c>
      <c r="R28">
        <v>0</v>
      </c>
      <c r="S28">
        <v>1</v>
      </c>
      <c r="T28">
        <v>19</v>
      </c>
      <c r="U28" t="b">
        <v>1</v>
      </c>
      <c r="V28" t="s">
        <v>244</v>
      </c>
      <c r="W28" t="s">
        <v>409</v>
      </c>
      <c r="X28" t="s">
        <v>1012</v>
      </c>
      <c r="Y28">
        <v>146</v>
      </c>
      <c r="Z28">
        <v>146</v>
      </c>
      <c r="AA28">
        <v>12</v>
      </c>
      <c r="AB28">
        <v>12</v>
      </c>
      <c r="AC28">
        <v>7</v>
      </c>
    </row>
    <row r="29" spans="1:29">
      <c r="A29">
        <v>28</v>
      </c>
      <c r="B29" t="s">
        <v>635</v>
      </c>
      <c r="C29" t="s">
        <v>684</v>
      </c>
      <c r="G29" t="s">
        <v>685</v>
      </c>
      <c r="J29" t="s">
        <v>618</v>
      </c>
      <c r="K29">
        <v>0</v>
      </c>
      <c r="N29" t="b">
        <v>1</v>
      </c>
      <c r="O29" t="b">
        <v>0</v>
      </c>
      <c r="P29" t="b">
        <v>0</v>
      </c>
      <c r="Q29">
        <v>20</v>
      </c>
      <c r="R29">
        <v>0</v>
      </c>
      <c r="S29">
        <v>1</v>
      </c>
      <c r="T29">
        <v>19</v>
      </c>
      <c r="U29" t="b">
        <v>1</v>
      </c>
      <c r="V29" t="s">
        <v>244</v>
      </c>
      <c r="W29" t="s">
        <v>409</v>
      </c>
      <c r="X29" t="s">
        <v>1013</v>
      </c>
      <c r="Y29">
        <v>151</v>
      </c>
      <c r="Z29">
        <v>151</v>
      </c>
      <c r="AA29">
        <v>12</v>
      </c>
      <c r="AB29">
        <v>12</v>
      </c>
      <c r="AC29">
        <v>7</v>
      </c>
    </row>
    <row r="30" spans="1:29">
      <c r="A30">
        <v>29</v>
      </c>
      <c r="B30" t="s">
        <v>635</v>
      </c>
      <c r="C30" t="s">
        <v>686</v>
      </c>
      <c r="G30" t="s">
        <v>687</v>
      </c>
      <c r="J30" t="s">
        <v>618</v>
      </c>
      <c r="K30">
        <v>0</v>
      </c>
      <c r="N30" t="b">
        <v>1</v>
      </c>
      <c r="O30" t="b">
        <v>0</v>
      </c>
      <c r="P30" t="b">
        <v>0</v>
      </c>
      <c r="Q30">
        <v>20</v>
      </c>
      <c r="R30">
        <v>0</v>
      </c>
      <c r="S30">
        <v>1</v>
      </c>
      <c r="T30">
        <v>19</v>
      </c>
      <c r="U30" t="b">
        <v>1</v>
      </c>
      <c r="V30" t="s">
        <v>244</v>
      </c>
      <c r="W30" t="s">
        <v>409</v>
      </c>
      <c r="X30" t="s">
        <v>1014</v>
      </c>
      <c r="Y30">
        <v>154</v>
      </c>
      <c r="Z30">
        <v>154</v>
      </c>
      <c r="AA30">
        <v>12</v>
      </c>
      <c r="AB30">
        <v>12</v>
      </c>
      <c r="AC30">
        <v>7</v>
      </c>
    </row>
    <row r="31" spans="1:29">
      <c r="A31">
        <v>30</v>
      </c>
      <c r="B31" t="s">
        <v>635</v>
      </c>
      <c r="C31" t="s">
        <v>688</v>
      </c>
      <c r="G31" t="s">
        <v>689</v>
      </c>
      <c r="J31" t="s">
        <v>618</v>
      </c>
      <c r="K31">
        <v>0</v>
      </c>
      <c r="N31" t="b">
        <v>1</v>
      </c>
      <c r="O31" t="b">
        <v>0</v>
      </c>
      <c r="P31" t="b">
        <v>0</v>
      </c>
      <c r="Q31">
        <v>20</v>
      </c>
      <c r="R31">
        <v>0</v>
      </c>
      <c r="S31">
        <v>1</v>
      </c>
      <c r="T31">
        <v>19</v>
      </c>
      <c r="U31" t="b">
        <v>1</v>
      </c>
      <c r="V31" t="s">
        <v>244</v>
      </c>
      <c r="W31" t="s">
        <v>409</v>
      </c>
      <c r="X31" t="s">
        <v>1015</v>
      </c>
      <c r="Y31">
        <v>156</v>
      </c>
      <c r="Z31">
        <v>156</v>
      </c>
      <c r="AA31">
        <v>12</v>
      </c>
      <c r="AB31">
        <v>12</v>
      </c>
      <c r="AC31">
        <v>7</v>
      </c>
    </row>
    <row r="32" spans="1:29">
      <c r="A32">
        <v>31</v>
      </c>
      <c r="B32" t="s">
        <v>635</v>
      </c>
      <c r="C32" t="s">
        <v>690</v>
      </c>
      <c r="G32" t="s">
        <v>691</v>
      </c>
      <c r="J32" t="s">
        <v>618</v>
      </c>
      <c r="K32">
        <v>0</v>
      </c>
      <c r="N32" t="b">
        <v>1</v>
      </c>
      <c r="O32" t="b">
        <v>0</v>
      </c>
      <c r="P32" t="b">
        <v>0</v>
      </c>
      <c r="Q32">
        <v>20</v>
      </c>
      <c r="R32">
        <v>0</v>
      </c>
      <c r="S32">
        <v>1</v>
      </c>
      <c r="T32">
        <v>19</v>
      </c>
      <c r="U32" t="b">
        <v>1</v>
      </c>
      <c r="V32" t="s">
        <v>244</v>
      </c>
      <c r="W32" t="s">
        <v>409</v>
      </c>
      <c r="X32" t="s">
        <v>1016</v>
      </c>
      <c r="Y32">
        <v>166</v>
      </c>
      <c r="Z32">
        <v>166</v>
      </c>
      <c r="AA32">
        <v>12</v>
      </c>
      <c r="AB32">
        <v>12</v>
      </c>
      <c r="AC32">
        <v>7</v>
      </c>
    </row>
    <row r="33" spans="1:29">
      <c r="A33">
        <v>32</v>
      </c>
      <c r="B33" t="s">
        <v>635</v>
      </c>
      <c r="C33" t="s">
        <v>692</v>
      </c>
      <c r="G33" t="s">
        <v>693</v>
      </c>
      <c r="J33" t="s">
        <v>618</v>
      </c>
      <c r="K33">
        <v>0</v>
      </c>
      <c r="N33" t="b">
        <v>1</v>
      </c>
      <c r="O33" t="b">
        <v>0</v>
      </c>
      <c r="P33" t="b">
        <v>0</v>
      </c>
      <c r="Q33">
        <v>20</v>
      </c>
      <c r="R33">
        <v>0</v>
      </c>
      <c r="S33">
        <v>1</v>
      </c>
      <c r="T33">
        <v>19</v>
      </c>
      <c r="U33" t="b">
        <v>1</v>
      </c>
      <c r="V33" t="s">
        <v>244</v>
      </c>
      <c r="W33" t="s">
        <v>409</v>
      </c>
      <c r="X33" t="s">
        <v>1017</v>
      </c>
      <c r="Y33">
        <v>187</v>
      </c>
      <c r="Z33">
        <v>187</v>
      </c>
      <c r="AA33">
        <v>12</v>
      </c>
      <c r="AB33">
        <v>12</v>
      </c>
      <c r="AC33">
        <v>7</v>
      </c>
    </row>
    <row r="34" spans="1:29">
      <c r="A34">
        <v>33</v>
      </c>
      <c r="B34" t="s">
        <v>635</v>
      </c>
      <c r="C34" t="s">
        <v>694</v>
      </c>
      <c r="G34" t="s">
        <v>695</v>
      </c>
      <c r="J34" t="s">
        <v>618</v>
      </c>
      <c r="K34">
        <v>0</v>
      </c>
      <c r="N34" t="b">
        <v>1</v>
      </c>
      <c r="O34" t="b">
        <v>0</v>
      </c>
      <c r="P34" t="b">
        <v>0</v>
      </c>
      <c r="Q34">
        <v>20</v>
      </c>
      <c r="R34">
        <v>0</v>
      </c>
      <c r="S34">
        <v>1</v>
      </c>
      <c r="T34">
        <v>19</v>
      </c>
      <c r="U34" t="b">
        <v>1</v>
      </c>
      <c r="V34" t="s">
        <v>244</v>
      </c>
      <c r="W34" t="s">
        <v>409</v>
      </c>
      <c r="X34" t="s">
        <v>1018</v>
      </c>
      <c r="Y34">
        <v>203</v>
      </c>
      <c r="Z34">
        <v>203</v>
      </c>
      <c r="AA34">
        <v>12</v>
      </c>
      <c r="AB34">
        <v>12</v>
      </c>
      <c r="AC34">
        <v>7</v>
      </c>
    </row>
    <row r="35" spans="1:29">
      <c r="A35">
        <v>34</v>
      </c>
      <c r="B35" t="s">
        <v>635</v>
      </c>
      <c r="C35" t="s">
        <v>696</v>
      </c>
      <c r="G35" t="s">
        <v>697</v>
      </c>
      <c r="J35" t="s">
        <v>618</v>
      </c>
      <c r="K35">
        <v>0</v>
      </c>
      <c r="N35" t="b">
        <v>1</v>
      </c>
      <c r="O35" t="b">
        <v>0</v>
      </c>
      <c r="P35" t="b">
        <v>0</v>
      </c>
      <c r="Q35">
        <v>20</v>
      </c>
      <c r="R35">
        <v>0</v>
      </c>
      <c r="S35">
        <v>1</v>
      </c>
      <c r="T35">
        <v>19</v>
      </c>
      <c r="U35" t="b">
        <v>1</v>
      </c>
      <c r="V35" t="s">
        <v>244</v>
      </c>
      <c r="W35" t="s">
        <v>409</v>
      </c>
      <c r="X35" t="s">
        <v>1019</v>
      </c>
      <c r="Y35">
        <v>211</v>
      </c>
      <c r="Z35">
        <v>211</v>
      </c>
      <c r="AA35">
        <v>12</v>
      </c>
      <c r="AB35">
        <v>12</v>
      </c>
      <c r="AC35">
        <v>7</v>
      </c>
    </row>
    <row r="36" spans="1:29">
      <c r="A36">
        <v>35</v>
      </c>
      <c r="B36" t="s">
        <v>635</v>
      </c>
      <c r="C36" t="s">
        <v>698</v>
      </c>
      <c r="G36" t="s">
        <v>699</v>
      </c>
      <c r="J36" t="s">
        <v>618</v>
      </c>
      <c r="K36">
        <v>0</v>
      </c>
      <c r="N36" t="b">
        <v>1</v>
      </c>
      <c r="O36" t="b">
        <v>0</v>
      </c>
      <c r="P36" t="b">
        <v>0</v>
      </c>
      <c r="Q36">
        <v>20</v>
      </c>
      <c r="R36">
        <v>0</v>
      </c>
      <c r="S36">
        <v>1</v>
      </c>
      <c r="T36">
        <v>19</v>
      </c>
      <c r="U36" t="b">
        <v>1</v>
      </c>
      <c r="V36" t="s">
        <v>244</v>
      </c>
      <c r="W36" t="s">
        <v>409</v>
      </c>
      <c r="X36" t="s">
        <v>1020</v>
      </c>
      <c r="Y36">
        <v>213</v>
      </c>
      <c r="Z36">
        <v>213</v>
      </c>
      <c r="AA36">
        <v>12</v>
      </c>
      <c r="AB36">
        <v>12</v>
      </c>
      <c r="AC36">
        <v>7</v>
      </c>
    </row>
    <row r="37" spans="1:29">
      <c r="A37">
        <v>36</v>
      </c>
      <c r="B37" t="s">
        <v>635</v>
      </c>
      <c r="C37" t="s">
        <v>700</v>
      </c>
      <c r="G37" t="s">
        <v>701</v>
      </c>
      <c r="J37" t="s">
        <v>618</v>
      </c>
      <c r="K37">
        <v>0</v>
      </c>
      <c r="N37" t="b">
        <v>1</v>
      </c>
      <c r="O37" t="b">
        <v>0</v>
      </c>
      <c r="P37" t="b">
        <v>0</v>
      </c>
      <c r="Q37">
        <v>20</v>
      </c>
      <c r="R37">
        <v>0</v>
      </c>
      <c r="S37">
        <v>1</v>
      </c>
      <c r="T37">
        <v>19</v>
      </c>
      <c r="U37" t="b">
        <v>1</v>
      </c>
      <c r="V37" t="s">
        <v>244</v>
      </c>
      <c r="W37" t="s">
        <v>409</v>
      </c>
      <c r="X37" t="s">
        <v>1021</v>
      </c>
      <c r="Y37">
        <v>215</v>
      </c>
      <c r="Z37">
        <v>215</v>
      </c>
      <c r="AA37">
        <v>12</v>
      </c>
      <c r="AB37">
        <v>12</v>
      </c>
      <c r="AC37">
        <v>7</v>
      </c>
    </row>
    <row r="38" spans="1:29">
      <c r="A38">
        <v>37</v>
      </c>
      <c r="B38" t="s">
        <v>628</v>
      </c>
      <c r="C38" t="s">
        <v>703</v>
      </c>
      <c r="D38" t="s">
        <v>704</v>
      </c>
      <c r="E38" t="s">
        <v>705</v>
      </c>
      <c r="U38" t="b">
        <v>1</v>
      </c>
      <c r="V38" t="s">
        <v>410</v>
      </c>
      <c r="W38" t="s">
        <v>411</v>
      </c>
      <c r="X38" t="s">
        <v>1022</v>
      </c>
      <c r="Y38">
        <v>1</v>
      </c>
      <c r="Z38">
        <v>28</v>
      </c>
      <c r="AA38">
        <v>1</v>
      </c>
      <c r="AB38">
        <v>17</v>
      </c>
      <c r="AC38">
        <v>8</v>
      </c>
    </row>
    <row r="39" spans="1:29">
      <c r="A39">
        <v>38</v>
      </c>
      <c r="B39" t="s">
        <v>631</v>
      </c>
      <c r="C39" t="s">
        <v>706</v>
      </c>
      <c r="U39" t="b">
        <v>1</v>
      </c>
      <c r="V39" t="s">
        <v>410</v>
      </c>
      <c r="W39" t="s">
        <v>411</v>
      </c>
      <c r="X39" t="s">
        <v>1023</v>
      </c>
      <c r="Y39">
        <v>2</v>
      </c>
      <c r="Z39">
        <v>28</v>
      </c>
      <c r="AA39">
        <v>1</v>
      </c>
      <c r="AB39">
        <v>17</v>
      </c>
      <c r="AC39">
        <v>8</v>
      </c>
    </row>
    <row r="40" spans="1:29">
      <c r="A40">
        <v>39</v>
      </c>
      <c r="B40" t="s">
        <v>633</v>
      </c>
      <c r="C40" t="s">
        <v>707</v>
      </c>
      <c r="U40" t="b">
        <v>1</v>
      </c>
      <c r="V40" t="s">
        <v>410</v>
      </c>
      <c r="W40" t="s">
        <v>411</v>
      </c>
      <c r="X40" t="s">
        <v>1024</v>
      </c>
      <c r="Y40">
        <v>2</v>
      </c>
      <c r="Z40">
        <v>6</v>
      </c>
      <c r="AA40">
        <v>3</v>
      </c>
      <c r="AB40">
        <v>3</v>
      </c>
      <c r="AC40">
        <v>8</v>
      </c>
    </row>
    <row r="41" spans="1:29">
      <c r="A41">
        <v>40</v>
      </c>
      <c r="B41" t="s">
        <v>633</v>
      </c>
      <c r="C41" t="s">
        <v>708</v>
      </c>
      <c r="U41" t="b">
        <v>1</v>
      </c>
      <c r="V41" t="s">
        <v>410</v>
      </c>
      <c r="W41" t="s">
        <v>411</v>
      </c>
      <c r="X41" t="s">
        <v>1025</v>
      </c>
      <c r="Y41">
        <v>2</v>
      </c>
      <c r="Z41">
        <v>6</v>
      </c>
      <c r="AA41">
        <v>5</v>
      </c>
      <c r="AB41">
        <v>5</v>
      </c>
      <c r="AC41">
        <v>8</v>
      </c>
    </row>
    <row r="42" spans="1:29">
      <c r="A42">
        <v>41</v>
      </c>
      <c r="B42" t="s">
        <v>633</v>
      </c>
      <c r="C42" t="s">
        <v>709</v>
      </c>
      <c r="U42" t="b">
        <v>1</v>
      </c>
      <c r="V42" t="s">
        <v>410</v>
      </c>
      <c r="W42" t="s">
        <v>411</v>
      </c>
      <c r="X42" t="s">
        <v>1026</v>
      </c>
      <c r="Y42">
        <v>2</v>
      </c>
      <c r="Z42">
        <v>3</v>
      </c>
      <c r="AA42">
        <v>11</v>
      </c>
      <c r="AB42">
        <v>11</v>
      </c>
      <c r="AC42">
        <v>8</v>
      </c>
    </row>
    <row r="43" spans="1:29">
      <c r="A43">
        <v>42</v>
      </c>
      <c r="B43" t="s">
        <v>633</v>
      </c>
      <c r="C43" t="s">
        <v>710</v>
      </c>
      <c r="U43" t="b">
        <v>1</v>
      </c>
      <c r="V43" t="s">
        <v>410</v>
      </c>
      <c r="W43" t="s">
        <v>411</v>
      </c>
      <c r="X43" t="s">
        <v>1027</v>
      </c>
      <c r="Y43">
        <v>8</v>
      </c>
      <c r="Z43">
        <v>9</v>
      </c>
      <c r="AA43">
        <v>3</v>
      </c>
      <c r="AB43">
        <v>7</v>
      </c>
      <c r="AC43">
        <v>8</v>
      </c>
    </row>
    <row r="44" spans="1:29">
      <c r="A44">
        <v>43</v>
      </c>
      <c r="B44" t="s">
        <v>633</v>
      </c>
      <c r="C44" t="s">
        <v>711</v>
      </c>
      <c r="U44" t="b">
        <v>1</v>
      </c>
      <c r="V44" t="s">
        <v>410</v>
      </c>
      <c r="W44" t="s">
        <v>411</v>
      </c>
      <c r="X44" t="s">
        <v>1028</v>
      </c>
      <c r="Y44">
        <v>12</v>
      </c>
      <c r="Z44">
        <v>18</v>
      </c>
      <c r="AA44">
        <v>3</v>
      </c>
      <c r="AB44">
        <v>3</v>
      </c>
      <c r="AC44">
        <v>8</v>
      </c>
    </row>
    <row r="45" spans="1:29">
      <c r="A45">
        <v>44</v>
      </c>
      <c r="B45" t="s">
        <v>633</v>
      </c>
      <c r="C45" t="s">
        <v>712</v>
      </c>
      <c r="U45" t="b">
        <v>1</v>
      </c>
      <c r="V45" t="s">
        <v>410</v>
      </c>
      <c r="W45" t="s">
        <v>411</v>
      </c>
      <c r="X45" t="s">
        <v>1029</v>
      </c>
      <c r="Y45">
        <v>12</v>
      </c>
      <c r="Z45">
        <v>18</v>
      </c>
      <c r="AA45">
        <v>5</v>
      </c>
      <c r="AB45">
        <v>5</v>
      </c>
      <c r="AC45">
        <v>8</v>
      </c>
    </row>
    <row r="46" spans="1:29">
      <c r="A46">
        <v>45</v>
      </c>
      <c r="B46" t="s">
        <v>633</v>
      </c>
      <c r="C46" t="s">
        <v>713</v>
      </c>
      <c r="U46" t="b">
        <v>1</v>
      </c>
      <c r="V46" t="s">
        <v>410</v>
      </c>
      <c r="W46" t="s">
        <v>411</v>
      </c>
      <c r="X46" t="s">
        <v>1030</v>
      </c>
      <c r="Y46">
        <v>21</v>
      </c>
      <c r="Z46">
        <v>28</v>
      </c>
      <c r="AA46">
        <v>5</v>
      </c>
      <c r="AB46">
        <v>5</v>
      </c>
      <c r="AC46">
        <v>8</v>
      </c>
    </row>
    <row r="47" spans="1:29">
      <c r="A47">
        <v>46</v>
      </c>
      <c r="B47" t="s">
        <v>628</v>
      </c>
      <c r="C47" t="s">
        <v>714</v>
      </c>
      <c r="D47" t="s">
        <v>715</v>
      </c>
      <c r="E47" t="s">
        <v>716</v>
      </c>
      <c r="U47" t="b">
        <v>1</v>
      </c>
      <c r="V47" t="s">
        <v>410</v>
      </c>
      <c r="W47" t="s">
        <v>411</v>
      </c>
      <c r="X47" t="s">
        <v>1031</v>
      </c>
      <c r="Y47">
        <v>30</v>
      </c>
      <c r="Z47">
        <v>69</v>
      </c>
      <c r="AA47">
        <v>1</v>
      </c>
      <c r="AB47">
        <v>17</v>
      </c>
      <c r="AC47">
        <v>8</v>
      </c>
    </row>
    <row r="48" spans="1:29">
      <c r="A48">
        <v>47</v>
      </c>
      <c r="B48" t="s">
        <v>631</v>
      </c>
      <c r="C48" t="s">
        <v>717</v>
      </c>
      <c r="U48" t="b">
        <v>1</v>
      </c>
      <c r="V48" t="s">
        <v>410</v>
      </c>
      <c r="W48" t="s">
        <v>411</v>
      </c>
      <c r="X48" t="s">
        <v>1032</v>
      </c>
      <c r="Y48">
        <v>31</v>
      </c>
      <c r="Z48">
        <v>69</v>
      </c>
      <c r="AA48">
        <v>1</v>
      </c>
      <c r="AB48">
        <v>17</v>
      </c>
      <c r="AC48">
        <v>8</v>
      </c>
    </row>
    <row r="49" spans="1:29">
      <c r="A49">
        <v>48</v>
      </c>
      <c r="B49" t="s">
        <v>633</v>
      </c>
      <c r="C49" t="s">
        <v>718</v>
      </c>
      <c r="U49" t="b">
        <v>1</v>
      </c>
      <c r="V49" t="s">
        <v>410</v>
      </c>
      <c r="W49" t="s">
        <v>411</v>
      </c>
      <c r="X49" t="s">
        <v>1033</v>
      </c>
      <c r="Y49">
        <v>31</v>
      </c>
      <c r="Z49">
        <v>51</v>
      </c>
      <c r="AA49">
        <v>9</v>
      </c>
      <c r="AB49">
        <v>9</v>
      </c>
      <c r="AC49">
        <v>8</v>
      </c>
    </row>
    <row r="50" spans="1:29">
      <c r="A50">
        <v>49</v>
      </c>
      <c r="B50" t="s">
        <v>633</v>
      </c>
      <c r="C50" t="s">
        <v>719</v>
      </c>
      <c r="U50" t="b">
        <v>1</v>
      </c>
      <c r="V50" t="s">
        <v>410</v>
      </c>
      <c r="W50" t="s">
        <v>411</v>
      </c>
      <c r="X50" t="s">
        <v>1034</v>
      </c>
      <c r="Y50">
        <v>56</v>
      </c>
      <c r="Z50">
        <v>69</v>
      </c>
      <c r="AA50">
        <v>2</v>
      </c>
      <c r="AB50">
        <v>5</v>
      </c>
      <c r="AC50">
        <v>8</v>
      </c>
    </row>
    <row r="51" spans="1:29">
      <c r="A51">
        <v>50</v>
      </c>
      <c r="B51" t="s">
        <v>633</v>
      </c>
      <c r="C51" t="s">
        <v>720</v>
      </c>
      <c r="U51" t="b">
        <v>1</v>
      </c>
      <c r="V51" t="s">
        <v>410</v>
      </c>
      <c r="W51" t="s">
        <v>411</v>
      </c>
      <c r="X51" t="s">
        <v>1035</v>
      </c>
      <c r="Y51">
        <v>56</v>
      </c>
      <c r="Z51">
        <v>69</v>
      </c>
      <c r="AA51">
        <v>7</v>
      </c>
      <c r="AB51">
        <v>7</v>
      </c>
      <c r="AC51">
        <v>8</v>
      </c>
    </row>
    <row r="52" spans="1:29">
      <c r="A52">
        <v>51</v>
      </c>
      <c r="B52" t="s">
        <v>633</v>
      </c>
      <c r="C52" t="s">
        <v>721</v>
      </c>
      <c r="U52" t="b">
        <v>1</v>
      </c>
      <c r="V52" t="s">
        <v>410</v>
      </c>
      <c r="W52" t="s">
        <v>411</v>
      </c>
      <c r="X52" t="s">
        <v>1036</v>
      </c>
      <c r="Y52">
        <v>56</v>
      </c>
      <c r="Z52">
        <v>69</v>
      </c>
      <c r="AA52">
        <v>9</v>
      </c>
      <c r="AB52">
        <v>9</v>
      </c>
      <c r="AC52">
        <v>8</v>
      </c>
    </row>
    <row r="53" spans="1:29">
      <c r="A53">
        <v>52</v>
      </c>
      <c r="B53" t="s">
        <v>628</v>
      </c>
      <c r="C53" t="s">
        <v>722</v>
      </c>
      <c r="D53" t="s">
        <v>723</v>
      </c>
      <c r="E53" t="s">
        <v>724</v>
      </c>
      <c r="U53" t="b">
        <v>1</v>
      </c>
      <c r="V53" t="s">
        <v>410</v>
      </c>
      <c r="W53" t="s">
        <v>411</v>
      </c>
      <c r="X53" t="s">
        <v>1037</v>
      </c>
      <c r="Y53">
        <v>72</v>
      </c>
      <c r="Z53">
        <v>117</v>
      </c>
      <c r="AA53">
        <v>1</v>
      </c>
      <c r="AB53">
        <v>17</v>
      </c>
      <c r="AC53">
        <v>8</v>
      </c>
    </row>
    <row r="54" spans="1:29">
      <c r="A54">
        <v>53</v>
      </c>
      <c r="B54" t="s">
        <v>631</v>
      </c>
      <c r="C54" t="s">
        <v>725</v>
      </c>
      <c r="U54" t="b">
        <v>1</v>
      </c>
      <c r="V54" t="s">
        <v>410</v>
      </c>
      <c r="W54" t="s">
        <v>411</v>
      </c>
      <c r="X54" t="s">
        <v>1038</v>
      </c>
      <c r="Y54">
        <v>73</v>
      </c>
      <c r="Z54">
        <v>117</v>
      </c>
      <c r="AA54">
        <v>1</v>
      </c>
      <c r="AB54">
        <v>17</v>
      </c>
      <c r="AC54">
        <v>8</v>
      </c>
    </row>
    <row r="55" spans="1:29">
      <c r="A55">
        <v>54</v>
      </c>
      <c r="B55" t="s">
        <v>633</v>
      </c>
      <c r="C55" t="s">
        <v>726</v>
      </c>
      <c r="U55" t="b">
        <v>1</v>
      </c>
      <c r="V55" t="s">
        <v>410</v>
      </c>
      <c r="W55" t="s">
        <v>411</v>
      </c>
      <c r="X55" t="s">
        <v>1039</v>
      </c>
      <c r="Y55">
        <v>73</v>
      </c>
      <c r="Z55">
        <v>87</v>
      </c>
      <c r="AA55">
        <v>9</v>
      </c>
      <c r="AB55">
        <v>9</v>
      </c>
      <c r="AC55">
        <v>8</v>
      </c>
    </row>
    <row r="56" spans="1:29">
      <c r="A56">
        <v>55</v>
      </c>
      <c r="B56" t="s">
        <v>633</v>
      </c>
      <c r="C56" t="s">
        <v>727</v>
      </c>
      <c r="U56" t="b">
        <v>1</v>
      </c>
      <c r="V56" t="s">
        <v>410</v>
      </c>
      <c r="W56" t="s">
        <v>411</v>
      </c>
      <c r="X56" t="s">
        <v>1040</v>
      </c>
      <c r="Y56">
        <v>92</v>
      </c>
      <c r="Z56">
        <v>96</v>
      </c>
      <c r="AA56">
        <v>2</v>
      </c>
      <c r="AB56">
        <v>14</v>
      </c>
      <c r="AC56">
        <v>8</v>
      </c>
    </row>
    <row r="57" spans="1:29">
      <c r="A57">
        <v>56</v>
      </c>
      <c r="B57" t="s">
        <v>633</v>
      </c>
      <c r="C57" t="s">
        <v>728</v>
      </c>
      <c r="U57" t="b">
        <v>1</v>
      </c>
      <c r="V57" t="s">
        <v>410</v>
      </c>
      <c r="W57" t="s">
        <v>411</v>
      </c>
      <c r="X57" t="s">
        <v>1041</v>
      </c>
      <c r="Y57">
        <v>101</v>
      </c>
      <c r="Z57">
        <v>105</v>
      </c>
      <c r="AA57">
        <v>2</v>
      </c>
      <c r="AB57">
        <v>2</v>
      </c>
      <c r="AC57">
        <v>8</v>
      </c>
    </row>
    <row r="58" spans="1:29">
      <c r="A58">
        <v>57</v>
      </c>
      <c r="B58" t="s">
        <v>633</v>
      </c>
      <c r="C58" t="s">
        <v>729</v>
      </c>
      <c r="U58" t="b">
        <v>1</v>
      </c>
      <c r="V58" t="s">
        <v>410</v>
      </c>
      <c r="W58" t="s">
        <v>411</v>
      </c>
      <c r="X58" t="s">
        <v>1042</v>
      </c>
      <c r="Y58">
        <v>101</v>
      </c>
      <c r="Z58">
        <v>105</v>
      </c>
      <c r="AA58">
        <v>5</v>
      </c>
      <c r="AB58">
        <v>7</v>
      </c>
      <c r="AC58">
        <v>8</v>
      </c>
    </row>
    <row r="59" spans="1:29">
      <c r="A59">
        <v>58</v>
      </c>
      <c r="B59" t="s">
        <v>633</v>
      </c>
      <c r="C59" t="s">
        <v>730</v>
      </c>
      <c r="U59" t="b">
        <v>1</v>
      </c>
      <c r="V59" t="s">
        <v>410</v>
      </c>
      <c r="W59" t="s">
        <v>411</v>
      </c>
      <c r="X59" t="s">
        <v>1043</v>
      </c>
      <c r="Y59">
        <v>101</v>
      </c>
      <c r="Z59">
        <v>105</v>
      </c>
      <c r="AA59">
        <v>11</v>
      </c>
      <c r="AB59">
        <v>13</v>
      </c>
      <c r="AC59">
        <v>8</v>
      </c>
    </row>
    <row r="60" spans="1:29">
      <c r="A60">
        <v>59</v>
      </c>
      <c r="B60" t="s">
        <v>633</v>
      </c>
      <c r="C60" t="s">
        <v>731</v>
      </c>
      <c r="U60" t="b">
        <v>1</v>
      </c>
      <c r="V60" t="s">
        <v>410</v>
      </c>
      <c r="W60" t="s">
        <v>411</v>
      </c>
      <c r="X60" t="s">
        <v>1044</v>
      </c>
      <c r="Y60">
        <v>110</v>
      </c>
      <c r="Z60">
        <v>117</v>
      </c>
      <c r="AA60">
        <v>3</v>
      </c>
      <c r="AB60">
        <v>6</v>
      </c>
      <c r="AC60">
        <v>8</v>
      </c>
    </row>
    <row r="61" spans="1:29">
      <c r="A61">
        <v>60</v>
      </c>
      <c r="B61" t="s">
        <v>633</v>
      </c>
      <c r="C61" t="s">
        <v>732</v>
      </c>
      <c r="U61" t="b">
        <v>1</v>
      </c>
      <c r="V61" t="s">
        <v>410</v>
      </c>
      <c r="W61" t="s">
        <v>411</v>
      </c>
      <c r="X61" t="s">
        <v>1045</v>
      </c>
      <c r="Y61">
        <v>110</v>
      </c>
      <c r="Z61">
        <v>116</v>
      </c>
      <c r="AA61">
        <v>10</v>
      </c>
      <c r="AB61">
        <v>13</v>
      </c>
      <c r="AC61">
        <v>8</v>
      </c>
    </row>
    <row r="62" spans="1:29">
      <c r="A62">
        <v>61</v>
      </c>
      <c r="B62" t="s">
        <v>635</v>
      </c>
      <c r="C62" t="s">
        <v>733</v>
      </c>
      <c r="G62" t="s">
        <v>1138</v>
      </c>
      <c r="I62" t="s">
        <v>150</v>
      </c>
      <c r="J62" t="s">
        <v>578</v>
      </c>
      <c r="K62">
        <v>0</v>
      </c>
      <c r="N62" t="b">
        <v>1</v>
      </c>
      <c r="O62" t="b">
        <v>0</v>
      </c>
      <c r="P62" t="b">
        <v>0</v>
      </c>
      <c r="Q62">
        <v>17</v>
      </c>
      <c r="R62">
        <v>0</v>
      </c>
      <c r="S62">
        <v>1</v>
      </c>
      <c r="T62">
        <v>0</v>
      </c>
      <c r="U62" t="b">
        <v>1</v>
      </c>
      <c r="V62" t="s">
        <v>410</v>
      </c>
      <c r="W62" t="s">
        <v>411</v>
      </c>
      <c r="X62" t="s">
        <v>1046</v>
      </c>
      <c r="Y62">
        <v>3</v>
      </c>
      <c r="Z62">
        <v>3</v>
      </c>
      <c r="AA62">
        <v>11</v>
      </c>
      <c r="AB62">
        <v>11</v>
      </c>
      <c r="AC62">
        <v>8</v>
      </c>
    </row>
    <row r="63" spans="1:29">
      <c r="A63">
        <v>62</v>
      </c>
      <c r="B63" t="s">
        <v>635</v>
      </c>
      <c r="C63" t="s">
        <v>735</v>
      </c>
      <c r="G63" t="s">
        <v>1136</v>
      </c>
      <c r="I63" t="s">
        <v>736</v>
      </c>
      <c r="J63" t="s">
        <v>580</v>
      </c>
      <c r="K63">
        <v>0</v>
      </c>
      <c r="N63" t="b">
        <v>1</v>
      </c>
      <c r="O63" t="b">
        <v>0</v>
      </c>
      <c r="P63" t="b">
        <v>0</v>
      </c>
      <c r="Q63">
        <v>17</v>
      </c>
      <c r="R63">
        <v>0</v>
      </c>
      <c r="S63">
        <v>1</v>
      </c>
      <c r="T63">
        <v>0</v>
      </c>
      <c r="U63" t="b">
        <v>1</v>
      </c>
      <c r="V63" t="s">
        <v>410</v>
      </c>
      <c r="W63" t="s">
        <v>411</v>
      </c>
      <c r="X63" t="s">
        <v>454</v>
      </c>
      <c r="Y63">
        <v>6</v>
      </c>
      <c r="Z63">
        <v>6</v>
      </c>
      <c r="AA63">
        <v>3</v>
      </c>
      <c r="AB63">
        <v>3</v>
      </c>
      <c r="AC63">
        <v>8</v>
      </c>
    </row>
    <row r="64" spans="1:29">
      <c r="A64">
        <v>63</v>
      </c>
      <c r="B64" t="s">
        <v>635</v>
      </c>
      <c r="C64" t="s">
        <v>737</v>
      </c>
      <c r="G64" t="s">
        <v>1137</v>
      </c>
      <c r="I64" t="s">
        <v>738</v>
      </c>
      <c r="J64" t="s">
        <v>580</v>
      </c>
      <c r="K64">
        <v>0</v>
      </c>
      <c r="N64" t="b">
        <v>1</v>
      </c>
      <c r="O64" t="b">
        <v>0</v>
      </c>
      <c r="P64" t="b">
        <v>0</v>
      </c>
      <c r="Q64">
        <v>17</v>
      </c>
      <c r="R64">
        <v>0</v>
      </c>
      <c r="S64">
        <v>1</v>
      </c>
      <c r="T64">
        <v>0</v>
      </c>
      <c r="U64" t="b">
        <v>1</v>
      </c>
      <c r="V64" t="s">
        <v>410</v>
      </c>
      <c r="W64" t="s">
        <v>411</v>
      </c>
      <c r="X64" t="s">
        <v>1047</v>
      </c>
      <c r="Y64">
        <v>6</v>
      </c>
      <c r="Z64">
        <v>6</v>
      </c>
      <c r="AA64">
        <v>5</v>
      </c>
      <c r="AB64">
        <v>5</v>
      </c>
      <c r="AC64">
        <v>8</v>
      </c>
    </row>
    <row r="65" spans="1:29">
      <c r="A65">
        <v>64</v>
      </c>
      <c r="B65" t="s">
        <v>635</v>
      </c>
      <c r="C65" t="s">
        <v>739</v>
      </c>
      <c r="G65" t="s">
        <v>781</v>
      </c>
      <c r="I65" t="s">
        <v>734</v>
      </c>
      <c r="J65" t="s">
        <v>614</v>
      </c>
      <c r="K65">
        <v>0</v>
      </c>
      <c r="N65" t="b">
        <v>1</v>
      </c>
      <c r="O65" t="b">
        <v>0</v>
      </c>
      <c r="P65" t="b">
        <v>0</v>
      </c>
      <c r="Q65">
        <v>17</v>
      </c>
      <c r="R65">
        <v>0</v>
      </c>
      <c r="S65">
        <v>1</v>
      </c>
      <c r="T65">
        <v>0</v>
      </c>
      <c r="U65" t="b">
        <v>1</v>
      </c>
      <c r="V65" t="s">
        <v>410</v>
      </c>
      <c r="W65" t="s">
        <v>411</v>
      </c>
      <c r="X65" t="s">
        <v>1048</v>
      </c>
      <c r="Y65">
        <v>9</v>
      </c>
      <c r="Z65">
        <v>9</v>
      </c>
      <c r="AA65">
        <v>3</v>
      </c>
      <c r="AB65">
        <v>3</v>
      </c>
      <c r="AC65">
        <v>8</v>
      </c>
    </row>
    <row r="66" spans="1:29">
      <c r="A66">
        <v>65</v>
      </c>
      <c r="B66" t="s">
        <v>635</v>
      </c>
      <c r="C66" t="s">
        <v>740</v>
      </c>
      <c r="G66" t="s">
        <v>741</v>
      </c>
      <c r="I66" t="s">
        <v>742</v>
      </c>
      <c r="J66" t="s">
        <v>580</v>
      </c>
      <c r="K66">
        <v>0</v>
      </c>
      <c r="N66" t="b">
        <v>0</v>
      </c>
      <c r="O66" t="b">
        <v>1</v>
      </c>
      <c r="P66" t="b">
        <v>0</v>
      </c>
      <c r="Q66">
        <v>17</v>
      </c>
      <c r="R66">
        <v>0</v>
      </c>
      <c r="S66">
        <v>1</v>
      </c>
      <c r="T66">
        <v>0</v>
      </c>
      <c r="U66" t="b">
        <v>1</v>
      </c>
      <c r="V66" t="s">
        <v>410</v>
      </c>
      <c r="W66" t="s">
        <v>411</v>
      </c>
      <c r="X66" t="s">
        <v>1049</v>
      </c>
      <c r="Y66">
        <v>16</v>
      </c>
      <c r="Z66">
        <v>16</v>
      </c>
      <c r="AA66">
        <v>3</v>
      </c>
      <c r="AB66">
        <v>3</v>
      </c>
      <c r="AC66">
        <v>8</v>
      </c>
    </row>
    <row r="67" spans="1:29">
      <c r="A67">
        <v>66</v>
      </c>
      <c r="B67" t="s">
        <v>635</v>
      </c>
      <c r="C67" t="s">
        <v>743</v>
      </c>
      <c r="G67" t="s">
        <v>750</v>
      </c>
      <c r="I67" t="s">
        <v>742</v>
      </c>
      <c r="J67" t="s">
        <v>580</v>
      </c>
      <c r="K67">
        <v>0</v>
      </c>
      <c r="N67" t="b">
        <v>0</v>
      </c>
      <c r="O67" t="b">
        <v>1</v>
      </c>
      <c r="P67" t="b">
        <v>0</v>
      </c>
      <c r="Q67">
        <v>17</v>
      </c>
      <c r="R67">
        <v>0</v>
      </c>
      <c r="S67">
        <v>1</v>
      </c>
      <c r="T67">
        <v>0</v>
      </c>
      <c r="U67" t="b">
        <v>1</v>
      </c>
      <c r="V67" t="s">
        <v>410</v>
      </c>
      <c r="W67" t="s">
        <v>411</v>
      </c>
      <c r="X67" t="s">
        <v>1050</v>
      </c>
      <c r="Y67">
        <v>17</v>
      </c>
      <c r="Z67">
        <v>17</v>
      </c>
      <c r="AA67">
        <v>3</v>
      </c>
      <c r="AB67">
        <v>3</v>
      </c>
      <c r="AC67">
        <v>8</v>
      </c>
    </row>
    <row r="68" spans="1:29">
      <c r="A68">
        <v>67</v>
      </c>
      <c r="B68" t="s">
        <v>635</v>
      </c>
      <c r="C68" t="s">
        <v>744</v>
      </c>
      <c r="G68" t="s">
        <v>745</v>
      </c>
      <c r="I68" t="s">
        <v>742</v>
      </c>
      <c r="J68" t="s">
        <v>580</v>
      </c>
      <c r="K68">
        <v>0</v>
      </c>
      <c r="N68" t="b">
        <v>0</v>
      </c>
      <c r="O68" t="b">
        <v>1</v>
      </c>
      <c r="P68" t="b">
        <v>0</v>
      </c>
      <c r="Q68">
        <v>17</v>
      </c>
      <c r="R68">
        <v>0</v>
      </c>
      <c r="S68">
        <v>1</v>
      </c>
      <c r="T68">
        <v>0</v>
      </c>
      <c r="U68" t="b">
        <v>1</v>
      </c>
      <c r="V68" t="s">
        <v>410</v>
      </c>
      <c r="W68" t="s">
        <v>411</v>
      </c>
      <c r="X68" t="s">
        <v>1051</v>
      </c>
      <c r="Y68">
        <v>18</v>
      </c>
      <c r="Z68">
        <v>18</v>
      </c>
      <c r="AA68">
        <v>3</v>
      </c>
      <c r="AB68">
        <v>3</v>
      </c>
      <c r="AC68">
        <v>8</v>
      </c>
    </row>
    <row r="69" spans="1:29">
      <c r="A69">
        <v>68</v>
      </c>
      <c r="B69" t="s">
        <v>635</v>
      </c>
      <c r="C69" t="s">
        <v>746</v>
      </c>
      <c r="G69" t="s">
        <v>741</v>
      </c>
      <c r="I69" t="s">
        <v>747</v>
      </c>
      <c r="J69" t="s">
        <v>580</v>
      </c>
      <c r="K69">
        <v>0</v>
      </c>
      <c r="N69" t="b">
        <v>0</v>
      </c>
      <c r="O69" t="b">
        <v>1</v>
      </c>
      <c r="P69" t="b">
        <v>0</v>
      </c>
      <c r="Q69">
        <v>17</v>
      </c>
      <c r="R69">
        <v>0</v>
      </c>
      <c r="S69">
        <v>1</v>
      </c>
      <c r="T69">
        <v>0</v>
      </c>
      <c r="U69" t="b">
        <v>1</v>
      </c>
      <c r="V69" t="s">
        <v>410</v>
      </c>
      <c r="W69" t="s">
        <v>411</v>
      </c>
      <c r="X69" t="s">
        <v>1052</v>
      </c>
      <c r="Y69">
        <v>16</v>
      </c>
      <c r="Z69">
        <v>16</v>
      </c>
      <c r="AA69">
        <v>5</v>
      </c>
      <c r="AB69">
        <v>5</v>
      </c>
      <c r="AC69">
        <v>8</v>
      </c>
    </row>
    <row r="70" spans="1:29">
      <c r="A70">
        <v>69</v>
      </c>
      <c r="B70" t="s">
        <v>635</v>
      </c>
      <c r="C70" t="s">
        <v>748</v>
      </c>
      <c r="G70" t="s">
        <v>750</v>
      </c>
      <c r="I70" t="s">
        <v>747</v>
      </c>
      <c r="J70" t="s">
        <v>580</v>
      </c>
      <c r="K70">
        <v>0</v>
      </c>
      <c r="N70" t="b">
        <v>0</v>
      </c>
      <c r="O70" t="b">
        <v>1</v>
      </c>
      <c r="P70" t="b">
        <v>0</v>
      </c>
      <c r="Q70">
        <v>17</v>
      </c>
      <c r="R70">
        <v>0</v>
      </c>
      <c r="S70">
        <v>1</v>
      </c>
      <c r="T70">
        <v>0</v>
      </c>
      <c r="U70" t="b">
        <v>1</v>
      </c>
      <c r="V70" t="s">
        <v>410</v>
      </c>
      <c r="W70" t="s">
        <v>411</v>
      </c>
      <c r="X70" t="s">
        <v>1053</v>
      </c>
      <c r="Y70">
        <v>17</v>
      </c>
      <c r="Z70">
        <v>17</v>
      </c>
      <c r="AA70">
        <v>5</v>
      </c>
      <c r="AB70">
        <v>5</v>
      </c>
      <c r="AC70">
        <v>8</v>
      </c>
    </row>
    <row r="71" spans="1:29">
      <c r="A71">
        <v>70</v>
      </c>
      <c r="B71" t="s">
        <v>635</v>
      </c>
      <c r="C71" t="s">
        <v>749</v>
      </c>
      <c r="G71" t="s">
        <v>745</v>
      </c>
      <c r="I71" t="s">
        <v>747</v>
      </c>
      <c r="J71" t="s">
        <v>580</v>
      </c>
      <c r="K71">
        <v>0</v>
      </c>
      <c r="N71" t="b">
        <v>0</v>
      </c>
      <c r="O71" t="b">
        <v>1</v>
      </c>
      <c r="P71" t="b">
        <v>0</v>
      </c>
      <c r="Q71">
        <v>17</v>
      </c>
      <c r="R71">
        <v>0</v>
      </c>
      <c r="S71">
        <v>1</v>
      </c>
      <c r="T71">
        <v>0</v>
      </c>
      <c r="U71" t="b">
        <v>1</v>
      </c>
      <c r="V71" t="s">
        <v>410</v>
      </c>
      <c r="W71" t="s">
        <v>411</v>
      </c>
      <c r="X71" t="s">
        <v>1054</v>
      </c>
      <c r="Y71">
        <v>18</v>
      </c>
      <c r="Z71">
        <v>18</v>
      </c>
      <c r="AA71">
        <v>5</v>
      </c>
      <c r="AB71">
        <v>5</v>
      </c>
      <c r="AC71">
        <v>8</v>
      </c>
    </row>
    <row r="72" spans="1:29">
      <c r="A72">
        <v>71</v>
      </c>
      <c r="B72" t="s">
        <v>635</v>
      </c>
      <c r="C72" t="s">
        <v>751</v>
      </c>
      <c r="G72" t="s">
        <v>775</v>
      </c>
      <c r="I72" t="s">
        <v>15</v>
      </c>
      <c r="J72" t="s">
        <v>578</v>
      </c>
      <c r="K72">
        <v>0</v>
      </c>
      <c r="N72" t="b">
        <v>0</v>
      </c>
      <c r="O72" t="b">
        <v>1</v>
      </c>
      <c r="P72" t="b">
        <v>0</v>
      </c>
      <c r="Q72">
        <v>17</v>
      </c>
      <c r="R72">
        <v>0</v>
      </c>
      <c r="S72">
        <v>1</v>
      </c>
      <c r="T72">
        <v>0</v>
      </c>
      <c r="U72" t="b">
        <v>1</v>
      </c>
      <c r="V72" t="s">
        <v>410</v>
      </c>
      <c r="W72" t="s">
        <v>411</v>
      </c>
      <c r="X72" t="s">
        <v>1055</v>
      </c>
      <c r="Y72">
        <v>23</v>
      </c>
      <c r="Z72">
        <v>23</v>
      </c>
      <c r="AA72">
        <v>5</v>
      </c>
      <c r="AB72">
        <v>5</v>
      </c>
      <c r="AC72">
        <v>8</v>
      </c>
    </row>
    <row r="73" spans="1:29">
      <c r="A73">
        <v>72</v>
      </c>
      <c r="B73" t="s">
        <v>635</v>
      </c>
      <c r="C73" t="s">
        <v>752</v>
      </c>
      <c r="G73" t="s">
        <v>776</v>
      </c>
      <c r="I73" t="s">
        <v>15</v>
      </c>
      <c r="J73" t="s">
        <v>578</v>
      </c>
      <c r="K73">
        <v>0</v>
      </c>
      <c r="N73" t="b">
        <v>0</v>
      </c>
      <c r="O73" t="b">
        <v>1</v>
      </c>
      <c r="P73" t="b">
        <v>0</v>
      </c>
      <c r="Q73">
        <v>17</v>
      </c>
      <c r="R73">
        <v>0</v>
      </c>
      <c r="S73">
        <v>1</v>
      </c>
      <c r="T73">
        <v>0</v>
      </c>
      <c r="U73" t="b">
        <v>1</v>
      </c>
      <c r="V73" t="s">
        <v>410</v>
      </c>
      <c r="W73" t="s">
        <v>411</v>
      </c>
      <c r="X73" t="s">
        <v>1056</v>
      </c>
      <c r="Y73">
        <v>24</v>
      </c>
      <c r="Z73">
        <v>24</v>
      </c>
      <c r="AA73">
        <v>5</v>
      </c>
      <c r="AB73">
        <v>5</v>
      </c>
      <c r="AC73">
        <v>8</v>
      </c>
    </row>
    <row r="74" spans="1:29">
      <c r="A74">
        <v>73</v>
      </c>
      <c r="B74" t="s">
        <v>635</v>
      </c>
      <c r="C74" t="s">
        <v>753</v>
      </c>
      <c r="G74" t="s">
        <v>777</v>
      </c>
      <c r="I74" t="s">
        <v>15</v>
      </c>
      <c r="J74" t="s">
        <v>578</v>
      </c>
      <c r="K74">
        <v>0</v>
      </c>
      <c r="N74" t="b">
        <v>0</v>
      </c>
      <c r="O74" t="b">
        <v>1</v>
      </c>
      <c r="P74" t="b">
        <v>0</v>
      </c>
      <c r="Q74">
        <v>17</v>
      </c>
      <c r="R74">
        <v>0</v>
      </c>
      <c r="S74">
        <v>1</v>
      </c>
      <c r="T74">
        <v>0</v>
      </c>
      <c r="U74" t="b">
        <v>1</v>
      </c>
      <c r="V74" t="s">
        <v>410</v>
      </c>
      <c r="W74" t="s">
        <v>411</v>
      </c>
      <c r="X74" t="s">
        <v>1057</v>
      </c>
      <c r="Y74">
        <v>25</v>
      </c>
      <c r="Z74">
        <v>25</v>
      </c>
      <c r="AA74">
        <v>5</v>
      </c>
      <c r="AB74">
        <v>5</v>
      </c>
      <c r="AC74">
        <v>8</v>
      </c>
    </row>
    <row r="75" spans="1:29">
      <c r="A75">
        <v>74</v>
      </c>
      <c r="B75" t="s">
        <v>635</v>
      </c>
      <c r="C75" t="s">
        <v>754</v>
      </c>
      <c r="G75" t="s">
        <v>778</v>
      </c>
      <c r="I75" t="s">
        <v>15</v>
      </c>
      <c r="J75" t="s">
        <v>578</v>
      </c>
      <c r="K75">
        <v>0</v>
      </c>
      <c r="N75" t="b">
        <v>0</v>
      </c>
      <c r="O75" t="b">
        <v>1</v>
      </c>
      <c r="P75" t="b">
        <v>0</v>
      </c>
      <c r="Q75">
        <v>17</v>
      </c>
      <c r="R75">
        <v>0</v>
      </c>
      <c r="S75">
        <v>1</v>
      </c>
      <c r="T75">
        <v>0</v>
      </c>
      <c r="U75" t="b">
        <v>1</v>
      </c>
      <c r="V75" t="s">
        <v>410</v>
      </c>
      <c r="W75" t="s">
        <v>411</v>
      </c>
      <c r="X75" t="s">
        <v>1058</v>
      </c>
      <c r="Y75">
        <v>26</v>
      </c>
      <c r="Z75">
        <v>26</v>
      </c>
      <c r="AA75">
        <v>5</v>
      </c>
      <c r="AB75">
        <v>5</v>
      </c>
      <c r="AC75">
        <v>8</v>
      </c>
    </row>
    <row r="76" spans="1:29">
      <c r="A76">
        <v>75</v>
      </c>
      <c r="B76" t="s">
        <v>635</v>
      </c>
      <c r="C76" t="s">
        <v>755</v>
      </c>
      <c r="G76" t="s">
        <v>779</v>
      </c>
      <c r="I76" t="s">
        <v>15</v>
      </c>
      <c r="J76" t="s">
        <v>578</v>
      </c>
      <c r="K76">
        <v>0</v>
      </c>
      <c r="N76" t="b">
        <v>1</v>
      </c>
      <c r="O76" t="b">
        <v>1</v>
      </c>
      <c r="P76" t="b">
        <v>0</v>
      </c>
      <c r="Q76">
        <v>17</v>
      </c>
      <c r="R76">
        <v>0</v>
      </c>
      <c r="S76">
        <v>1</v>
      </c>
      <c r="T76">
        <v>0</v>
      </c>
      <c r="U76" t="b">
        <v>1</v>
      </c>
      <c r="V76" t="s">
        <v>410</v>
      </c>
      <c r="W76" t="s">
        <v>411</v>
      </c>
      <c r="X76" t="s">
        <v>1059</v>
      </c>
      <c r="Y76">
        <v>27</v>
      </c>
      <c r="Z76">
        <v>27</v>
      </c>
      <c r="AA76">
        <v>5</v>
      </c>
      <c r="AB76">
        <v>5</v>
      </c>
      <c r="AC76">
        <v>8</v>
      </c>
    </row>
    <row r="77" spans="1:29">
      <c r="A77">
        <v>76</v>
      </c>
      <c r="B77" t="s">
        <v>635</v>
      </c>
      <c r="C77" t="s">
        <v>756</v>
      </c>
      <c r="G77" t="s">
        <v>780</v>
      </c>
      <c r="I77" t="s">
        <v>15</v>
      </c>
      <c r="J77" t="s">
        <v>578</v>
      </c>
      <c r="K77">
        <v>0</v>
      </c>
      <c r="N77" t="b">
        <v>1</v>
      </c>
      <c r="O77" t="b">
        <v>1</v>
      </c>
      <c r="P77" t="b">
        <v>0</v>
      </c>
      <c r="Q77">
        <v>17</v>
      </c>
      <c r="R77">
        <v>0</v>
      </c>
      <c r="S77">
        <v>1</v>
      </c>
      <c r="T77">
        <v>0</v>
      </c>
      <c r="U77" t="b">
        <v>1</v>
      </c>
      <c r="V77" t="s">
        <v>410</v>
      </c>
      <c r="W77" t="s">
        <v>411</v>
      </c>
      <c r="X77" t="s">
        <v>1060</v>
      </c>
      <c r="Y77">
        <v>28</v>
      </c>
      <c r="Z77">
        <v>28</v>
      </c>
      <c r="AA77">
        <v>5</v>
      </c>
      <c r="AB77">
        <v>5</v>
      </c>
      <c r="AC77">
        <v>8</v>
      </c>
    </row>
    <row r="78" spans="1:29">
      <c r="A78">
        <v>77</v>
      </c>
      <c r="B78" t="s">
        <v>635</v>
      </c>
      <c r="C78" t="s">
        <v>757</v>
      </c>
      <c r="G78" t="s">
        <v>782</v>
      </c>
      <c r="I78" t="s">
        <v>1139</v>
      </c>
      <c r="J78" t="s">
        <v>618</v>
      </c>
      <c r="K78">
        <v>0</v>
      </c>
      <c r="N78" t="b">
        <v>1</v>
      </c>
      <c r="O78" t="b">
        <v>0</v>
      </c>
      <c r="P78" t="b">
        <v>0</v>
      </c>
      <c r="Q78">
        <v>17</v>
      </c>
      <c r="R78">
        <v>0</v>
      </c>
      <c r="S78">
        <v>1</v>
      </c>
      <c r="T78">
        <v>0</v>
      </c>
      <c r="U78" t="b">
        <v>1</v>
      </c>
      <c r="V78" t="s">
        <v>410</v>
      </c>
      <c r="W78" t="s">
        <v>411</v>
      </c>
      <c r="X78" t="s">
        <v>1061</v>
      </c>
      <c r="Y78">
        <v>35</v>
      </c>
      <c r="Z78">
        <v>35</v>
      </c>
      <c r="AA78">
        <v>9</v>
      </c>
      <c r="AB78">
        <v>9</v>
      </c>
      <c r="AC78">
        <v>8</v>
      </c>
    </row>
    <row r="79" spans="1:29">
      <c r="A79">
        <v>78</v>
      </c>
      <c r="B79" t="s">
        <v>635</v>
      </c>
      <c r="C79" t="s">
        <v>758</v>
      </c>
      <c r="G79" t="s">
        <v>783</v>
      </c>
      <c r="I79" t="s">
        <v>1139</v>
      </c>
      <c r="J79" t="s">
        <v>618</v>
      </c>
      <c r="K79">
        <v>0</v>
      </c>
      <c r="N79" t="b">
        <v>1</v>
      </c>
      <c r="O79" t="b">
        <v>0</v>
      </c>
      <c r="P79" t="b">
        <v>0</v>
      </c>
      <c r="Q79">
        <v>17</v>
      </c>
      <c r="R79">
        <v>0</v>
      </c>
      <c r="S79">
        <v>1</v>
      </c>
      <c r="T79">
        <v>0</v>
      </c>
      <c r="U79" t="b">
        <v>1</v>
      </c>
      <c r="V79" t="s">
        <v>410</v>
      </c>
      <c r="W79" t="s">
        <v>411</v>
      </c>
      <c r="X79" t="s">
        <v>1062</v>
      </c>
      <c r="Y79">
        <v>39</v>
      </c>
      <c r="Z79">
        <v>39</v>
      </c>
      <c r="AA79">
        <v>9</v>
      </c>
      <c r="AB79">
        <v>9</v>
      </c>
      <c r="AC79">
        <v>8</v>
      </c>
    </row>
    <row r="80" spans="1:29">
      <c r="A80">
        <v>79</v>
      </c>
      <c r="B80" t="s">
        <v>635</v>
      </c>
      <c r="C80" t="s">
        <v>759</v>
      </c>
      <c r="G80" t="s">
        <v>784</v>
      </c>
      <c r="I80" t="s">
        <v>1139</v>
      </c>
      <c r="J80" t="s">
        <v>618</v>
      </c>
      <c r="K80">
        <v>0</v>
      </c>
      <c r="N80" t="b">
        <v>1</v>
      </c>
      <c r="O80" t="b">
        <v>0</v>
      </c>
      <c r="P80" t="b">
        <v>0</v>
      </c>
      <c r="Q80">
        <v>17</v>
      </c>
      <c r="R80">
        <v>0</v>
      </c>
      <c r="S80">
        <v>1</v>
      </c>
      <c r="T80">
        <v>0</v>
      </c>
      <c r="U80" t="b">
        <v>1</v>
      </c>
      <c r="V80" t="s">
        <v>410</v>
      </c>
      <c r="W80" t="s">
        <v>411</v>
      </c>
      <c r="X80" t="s">
        <v>1063</v>
      </c>
      <c r="Y80">
        <v>41</v>
      </c>
      <c r="Z80">
        <v>41</v>
      </c>
      <c r="AA80">
        <v>9</v>
      </c>
      <c r="AB80">
        <v>9</v>
      </c>
      <c r="AC80">
        <v>8</v>
      </c>
    </row>
    <row r="81" spans="1:29">
      <c r="A81">
        <v>80</v>
      </c>
      <c r="B81" t="s">
        <v>635</v>
      </c>
      <c r="C81" t="s">
        <v>760</v>
      </c>
      <c r="G81" t="s">
        <v>785</v>
      </c>
      <c r="I81" t="s">
        <v>1139</v>
      </c>
      <c r="J81" t="s">
        <v>618</v>
      </c>
      <c r="K81">
        <v>0</v>
      </c>
      <c r="N81" t="b">
        <v>1</v>
      </c>
      <c r="O81" t="b">
        <v>0</v>
      </c>
      <c r="P81" t="b">
        <v>0</v>
      </c>
      <c r="Q81">
        <v>17</v>
      </c>
      <c r="R81">
        <v>0</v>
      </c>
      <c r="S81">
        <v>1</v>
      </c>
      <c r="T81">
        <v>0</v>
      </c>
      <c r="U81" t="b">
        <v>1</v>
      </c>
      <c r="V81" t="s">
        <v>410</v>
      </c>
      <c r="W81" t="s">
        <v>411</v>
      </c>
      <c r="X81" t="s">
        <v>1064</v>
      </c>
      <c r="Y81">
        <v>45</v>
      </c>
      <c r="Z81">
        <v>45</v>
      </c>
      <c r="AA81">
        <v>9</v>
      </c>
      <c r="AB81">
        <v>9</v>
      </c>
      <c r="AC81">
        <v>8</v>
      </c>
    </row>
    <row r="82" spans="1:29">
      <c r="A82">
        <v>81</v>
      </c>
      <c r="B82" t="s">
        <v>635</v>
      </c>
      <c r="C82" t="s">
        <v>761</v>
      </c>
      <c r="G82" t="s">
        <v>786</v>
      </c>
      <c r="I82" t="s">
        <v>1139</v>
      </c>
      <c r="J82" t="s">
        <v>578</v>
      </c>
      <c r="K82">
        <v>0</v>
      </c>
      <c r="N82" t="b">
        <v>1</v>
      </c>
      <c r="O82" t="b">
        <v>0</v>
      </c>
      <c r="P82" t="b">
        <v>0</v>
      </c>
      <c r="Q82">
        <v>17</v>
      </c>
      <c r="R82">
        <v>0</v>
      </c>
      <c r="S82">
        <v>1</v>
      </c>
      <c r="T82">
        <v>0</v>
      </c>
      <c r="U82" t="b">
        <v>1</v>
      </c>
      <c r="V82" t="s">
        <v>410</v>
      </c>
      <c r="W82" t="s">
        <v>411</v>
      </c>
      <c r="X82" t="s">
        <v>1233</v>
      </c>
      <c r="Y82">
        <v>47</v>
      </c>
      <c r="Z82">
        <v>47</v>
      </c>
      <c r="AA82">
        <v>9</v>
      </c>
      <c r="AB82">
        <v>9</v>
      </c>
      <c r="AC82">
        <v>8</v>
      </c>
    </row>
    <row r="83" spans="1:29">
      <c r="A83">
        <v>82</v>
      </c>
      <c r="B83" t="s">
        <v>635</v>
      </c>
      <c r="C83" t="s">
        <v>762</v>
      </c>
      <c r="G83" t="s">
        <v>787</v>
      </c>
      <c r="I83" t="s">
        <v>1139</v>
      </c>
      <c r="J83" t="s">
        <v>618</v>
      </c>
      <c r="K83">
        <v>0</v>
      </c>
      <c r="N83" t="b">
        <v>1</v>
      </c>
      <c r="O83" t="b">
        <v>0</v>
      </c>
      <c r="P83" t="b">
        <v>0</v>
      </c>
      <c r="Q83">
        <v>17</v>
      </c>
      <c r="R83">
        <v>0</v>
      </c>
      <c r="S83">
        <v>1</v>
      </c>
      <c r="T83">
        <v>0</v>
      </c>
      <c r="U83" t="b">
        <v>1</v>
      </c>
      <c r="V83" t="s">
        <v>410</v>
      </c>
      <c r="W83" t="s">
        <v>411</v>
      </c>
      <c r="X83" t="s">
        <v>1065</v>
      </c>
      <c r="Y83">
        <v>51</v>
      </c>
      <c r="Z83">
        <v>51</v>
      </c>
      <c r="AA83">
        <v>9</v>
      </c>
      <c r="AB83">
        <v>9</v>
      </c>
      <c r="AC83">
        <v>8</v>
      </c>
    </row>
    <row r="84" spans="1:29">
      <c r="A84">
        <v>83</v>
      </c>
      <c r="B84" t="s">
        <v>635</v>
      </c>
      <c r="C84" t="s">
        <v>763</v>
      </c>
      <c r="G84" t="s">
        <v>734</v>
      </c>
      <c r="J84" t="s">
        <v>578</v>
      </c>
      <c r="K84">
        <v>0</v>
      </c>
      <c r="N84" t="b">
        <v>1</v>
      </c>
      <c r="O84" t="b">
        <v>0</v>
      </c>
      <c r="P84" t="b">
        <v>0</v>
      </c>
      <c r="Q84">
        <v>17</v>
      </c>
      <c r="R84">
        <v>0</v>
      </c>
      <c r="S84">
        <v>1</v>
      </c>
      <c r="T84">
        <v>2</v>
      </c>
      <c r="U84" t="b">
        <v>1</v>
      </c>
      <c r="V84" t="s">
        <v>410</v>
      </c>
      <c r="W84" t="s">
        <v>411</v>
      </c>
      <c r="X84" t="s">
        <v>1066</v>
      </c>
      <c r="Y84">
        <v>58</v>
      </c>
      <c r="Z84">
        <v>58</v>
      </c>
      <c r="AA84">
        <v>2</v>
      </c>
      <c r="AB84">
        <v>2</v>
      </c>
      <c r="AC84">
        <v>8</v>
      </c>
    </row>
    <row r="85" spans="1:29">
      <c r="A85">
        <v>84</v>
      </c>
      <c r="B85" t="s">
        <v>635</v>
      </c>
      <c r="C85" t="s">
        <v>764</v>
      </c>
      <c r="G85" t="s">
        <v>734</v>
      </c>
      <c r="J85" t="s">
        <v>578</v>
      </c>
      <c r="K85">
        <v>0</v>
      </c>
      <c r="N85" t="b">
        <v>1</v>
      </c>
      <c r="O85" t="b">
        <v>0</v>
      </c>
      <c r="P85" t="b">
        <v>0</v>
      </c>
      <c r="Q85">
        <v>17</v>
      </c>
      <c r="R85">
        <v>0</v>
      </c>
      <c r="S85">
        <v>1</v>
      </c>
      <c r="T85">
        <v>2</v>
      </c>
      <c r="U85" t="b">
        <v>1</v>
      </c>
      <c r="V85" t="s">
        <v>410</v>
      </c>
      <c r="W85" t="s">
        <v>411</v>
      </c>
      <c r="X85" t="s">
        <v>1067</v>
      </c>
      <c r="Y85">
        <v>59</v>
      </c>
      <c r="Z85">
        <v>59</v>
      </c>
      <c r="AA85">
        <v>2</v>
      </c>
      <c r="AB85">
        <v>2</v>
      </c>
      <c r="AC85">
        <v>8</v>
      </c>
    </row>
    <row r="86" spans="1:29">
      <c r="A86">
        <v>85</v>
      </c>
      <c r="B86" t="s">
        <v>635</v>
      </c>
      <c r="C86" t="s">
        <v>765</v>
      </c>
      <c r="G86" t="s">
        <v>734</v>
      </c>
      <c r="J86" t="s">
        <v>578</v>
      </c>
      <c r="K86">
        <v>0</v>
      </c>
      <c r="N86" t="b">
        <v>1</v>
      </c>
      <c r="O86" t="b">
        <v>0</v>
      </c>
      <c r="P86" t="b">
        <v>0</v>
      </c>
      <c r="Q86">
        <v>17</v>
      </c>
      <c r="R86">
        <v>0</v>
      </c>
      <c r="S86">
        <v>1</v>
      </c>
      <c r="T86">
        <v>12</v>
      </c>
      <c r="U86" t="b">
        <v>1</v>
      </c>
      <c r="V86" t="s">
        <v>410</v>
      </c>
      <c r="W86" t="s">
        <v>411</v>
      </c>
      <c r="X86" t="s">
        <v>1068</v>
      </c>
      <c r="Y86">
        <v>68</v>
      </c>
      <c r="Z86">
        <v>68</v>
      </c>
      <c r="AA86">
        <v>2</v>
      </c>
      <c r="AB86">
        <v>2</v>
      </c>
      <c r="AC86">
        <v>8</v>
      </c>
    </row>
    <row r="87" spans="1:29">
      <c r="A87">
        <v>86</v>
      </c>
      <c r="B87" t="s">
        <v>635</v>
      </c>
      <c r="C87" t="s">
        <v>766</v>
      </c>
      <c r="G87" t="s">
        <v>734</v>
      </c>
      <c r="J87" t="s">
        <v>578</v>
      </c>
      <c r="K87">
        <v>0</v>
      </c>
      <c r="N87" t="b">
        <v>1</v>
      </c>
      <c r="O87" t="b">
        <v>0</v>
      </c>
      <c r="P87" t="b">
        <v>0</v>
      </c>
      <c r="Q87">
        <v>17</v>
      </c>
      <c r="R87">
        <v>0</v>
      </c>
      <c r="S87">
        <v>1</v>
      </c>
      <c r="T87">
        <v>12</v>
      </c>
      <c r="U87" t="b">
        <v>1</v>
      </c>
      <c r="V87" t="s">
        <v>410</v>
      </c>
      <c r="W87" t="s">
        <v>411</v>
      </c>
      <c r="X87" t="s">
        <v>1069</v>
      </c>
      <c r="Y87">
        <v>69</v>
      </c>
      <c r="Z87">
        <v>69</v>
      </c>
      <c r="AA87">
        <v>2</v>
      </c>
      <c r="AB87">
        <v>2</v>
      </c>
      <c r="AC87">
        <v>8</v>
      </c>
    </row>
    <row r="88" spans="1:29">
      <c r="A88">
        <v>87</v>
      </c>
      <c r="B88" t="s">
        <v>635</v>
      </c>
      <c r="C88" t="s">
        <v>767</v>
      </c>
      <c r="G88" t="s">
        <v>734</v>
      </c>
      <c r="J88" t="s">
        <v>578</v>
      </c>
      <c r="K88">
        <v>0</v>
      </c>
      <c r="N88" t="b">
        <v>1</v>
      </c>
      <c r="O88" t="b">
        <v>0</v>
      </c>
      <c r="P88" t="b">
        <v>0</v>
      </c>
      <c r="Q88">
        <v>17</v>
      </c>
      <c r="R88">
        <v>0</v>
      </c>
      <c r="S88">
        <v>1</v>
      </c>
      <c r="T88">
        <v>12</v>
      </c>
      <c r="U88" t="b">
        <v>1</v>
      </c>
      <c r="V88" t="s">
        <v>410</v>
      </c>
      <c r="W88" t="s">
        <v>411</v>
      </c>
      <c r="X88" t="s">
        <v>1070</v>
      </c>
      <c r="Y88">
        <v>68</v>
      </c>
      <c r="Z88">
        <v>68</v>
      </c>
      <c r="AA88">
        <v>7</v>
      </c>
      <c r="AB88">
        <v>7</v>
      </c>
      <c r="AC88">
        <v>8</v>
      </c>
    </row>
    <row r="89" spans="1:29">
      <c r="A89">
        <v>88</v>
      </c>
      <c r="B89" t="s">
        <v>635</v>
      </c>
      <c r="C89" t="s">
        <v>768</v>
      </c>
      <c r="G89" t="s">
        <v>734</v>
      </c>
      <c r="J89" t="s">
        <v>578</v>
      </c>
      <c r="K89">
        <v>0</v>
      </c>
      <c r="N89" t="b">
        <v>1</v>
      </c>
      <c r="O89" t="b">
        <v>0</v>
      </c>
      <c r="P89" t="b">
        <v>0</v>
      </c>
      <c r="Q89">
        <v>17</v>
      </c>
      <c r="R89">
        <v>0</v>
      </c>
      <c r="S89">
        <v>1</v>
      </c>
      <c r="T89">
        <v>12</v>
      </c>
      <c r="U89" t="b">
        <v>1</v>
      </c>
      <c r="V89" t="s">
        <v>410</v>
      </c>
      <c r="W89" t="s">
        <v>411</v>
      </c>
      <c r="X89" t="s">
        <v>1071</v>
      </c>
      <c r="Y89">
        <v>69</v>
      </c>
      <c r="Z89">
        <v>69</v>
      </c>
      <c r="AA89">
        <v>7</v>
      </c>
      <c r="AB89">
        <v>7</v>
      </c>
      <c r="AC89">
        <v>8</v>
      </c>
    </row>
    <row r="90" spans="1:29">
      <c r="A90">
        <v>89</v>
      </c>
      <c r="B90" t="s">
        <v>635</v>
      </c>
      <c r="C90" t="s">
        <v>769</v>
      </c>
      <c r="G90" t="s">
        <v>770</v>
      </c>
      <c r="I90" t="s">
        <v>734</v>
      </c>
      <c r="J90" t="s">
        <v>618</v>
      </c>
      <c r="K90">
        <v>0</v>
      </c>
      <c r="N90" t="b">
        <v>1</v>
      </c>
      <c r="O90" t="b">
        <v>0</v>
      </c>
      <c r="P90" t="b">
        <v>0</v>
      </c>
      <c r="Q90">
        <v>17</v>
      </c>
      <c r="R90">
        <v>0</v>
      </c>
      <c r="S90">
        <v>1</v>
      </c>
      <c r="T90">
        <v>0</v>
      </c>
      <c r="U90" t="b">
        <v>1</v>
      </c>
      <c r="V90" t="s">
        <v>410</v>
      </c>
      <c r="W90" t="s">
        <v>411</v>
      </c>
      <c r="X90" t="s">
        <v>1072</v>
      </c>
      <c r="Y90">
        <v>61</v>
      </c>
      <c r="Z90">
        <v>61</v>
      </c>
      <c r="AA90">
        <v>9</v>
      </c>
      <c r="AB90">
        <v>9</v>
      </c>
      <c r="AC90">
        <v>8</v>
      </c>
    </row>
    <row r="91" spans="1:29">
      <c r="A91">
        <v>90</v>
      </c>
      <c r="B91" t="s">
        <v>635</v>
      </c>
      <c r="C91" t="s">
        <v>771</v>
      </c>
      <c r="G91" t="s">
        <v>772</v>
      </c>
      <c r="I91" t="s">
        <v>734</v>
      </c>
      <c r="J91" t="s">
        <v>618</v>
      </c>
      <c r="K91">
        <v>0</v>
      </c>
      <c r="N91" t="b">
        <v>1</v>
      </c>
      <c r="O91" t="b">
        <v>0</v>
      </c>
      <c r="P91" t="b">
        <v>0</v>
      </c>
      <c r="Q91">
        <v>17</v>
      </c>
      <c r="R91">
        <v>0</v>
      </c>
      <c r="S91">
        <v>1</v>
      </c>
      <c r="T91">
        <v>0</v>
      </c>
      <c r="U91" t="b">
        <v>1</v>
      </c>
      <c r="V91" t="s">
        <v>410</v>
      </c>
      <c r="W91" t="s">
        <v>411</v>
      </c>
      <c r="X91" t="s">
        <v>1073</v>
      </c>
      <c r="Y91">
        <v>63</v>
      </c>
      <c r="Z91">
        <v>63</v>
      </c>
      <c r="AA91">
        <v>9</v>
      </c>
      <c r="AB91">
        <v>9</v>
      </c>
      <c r="AC91">
        <v>8</v>
      </c>
    </row>
    <row r="92" spans="1:29">
      <c r="A92">
        <v>91</v>
      </c>
      <c r="B92" t="s">
        <v>635</v>
      </c>
      <c r="C92" t="s">
        <v>773</v>
      </c>
      <c r="G92" t="s">
        <v>734</v>
      </c>
      <c r="J92" t="s">
        <v>578</v>
      </c>
      <c r="K92">
        <v>0</v>
      </c>
      <c r="N92" t="b">
        <v>1</v>
      </c>
      <c r="O92" t="b">
        <v>0</v>
      </c>
      <c r="P92" t="b">
        <v>0</v>
      </c>
      <c r="Q92">
        <v>17</v>
      </c>
      <c r="R92">
        <v>0</v>
      </c>
      <c r="S92">
        <v>1</v>
      </c>
      <c r="T92">
        <v>12</v>
      </c>
      <c r="U92" t="b">
        <v>1</v>
      </c>
      <c r="V92" t="s">
        <v>410</v>
      </c>
      <c r="W92" t="s">
        <v>411</v>
      </c>
      <c r="X92" t="s">
        <v>1074</v>
      </c>
      <c r="Y92">
        <v>68</v>
      </c>
      <c r="Z92">
        <v>68</v>
      </c>
      <c r="AA92">
        <v>9</v>
      </c>
      <c r="AB92">
        <v>9</v>
      </c>
      <c r="AC92">
        <v>8</v>
      </c>
    </row>
    <row r="93" spans="1:29">
      <c r="A93">
        <v>92</v>
      </c>
      <c r="B93" t="s">
        <v>635</v>
      </c>
      <c r="C93" t="s">
        <v>774</v>
      </c>
      <c r="G93" t="s">
        <v>734</v>
      </c>
      <c r="J93" t="s">
        <v>578</v>
      </c>
      <c r="K93">
        <v>0</v>
      </c>
      <c r="N93" t="b">
        <v>1</v>
      </c>
      <c r="O93" t="b">
        <v>0</v>
      </c>
      <c r="P93" t="b">
        <v>0</v>
      </c>
      <c r="Q93">
        <v>17</v>
      </c>
      <c r="R93">
        <v>0</v>
      </c>
      <c r="S93">
        <v>1</v>
      </c>
      <c r="T93">
        <v>12</v>
      </c>
      <c r="U93" t="b">
        <v>1</v>
      </c>
      <c r="V93" t="s">
        <v>410</v>
      </c>
      <c r="W93" t="s">
        <v>411</v>
      </c>
      <c r="X93" t="s">
        <v>1075</v>
      </c>
      <c r="Y93">
        <v>69</v>
      </c>
      <c r="Z93">
        <v>69</v>
      </c>
      <c r="AA93">
        <v>9</v>
      </c>
      <c r="AB93">
        <v>9</v>
      </c>
      <c r="AC93">
        <v>8</v>
      </c>
    </row>
    <row r="94" spans="1:29">
      <c r="A94">
        <v>93</v>
      </c>
      <c r="B94" t="s">
        <v>635</v>
      </c>
      <c r="C94" t="s">
        <v>788</v>
      </c>
      <c r="G94" t="s">
        <v>1184</v>
      </c>
      <c r="I94" t="s">
        <v>734</v>
      </c>
      <c r="J94" t="s">
        <v>586</v>
      </c>
      <c r="K94">
        <v>0</v>
      </c>
      <c r="N94" t="b">
        <v>1</v>
      </c>
      <c r="O94" t="b">
        <v>1</v>
      </c>
      <c r="P94" t="b">
        <v>0</v>
      </c>
      <c r="Q94">
        <v>17</v>
      </c>
      <c r="R94">
        <v>0</v>
      </c>
      <c r="S94">
        <v>1</v>
      </c>
      <c r="T94">
        <v>0</v>
      </c>
      <c r="U94" t="b">
        <v>1</v>
      </c>
      <c r="V94" t="s">
        <v>410</v>
      </c>
      <c r="W94" t="s">
        <v>411</v>
      </c>
      <c r="X94" t="s">
        <v>1229</v>
      </c>
      <c r="Y94">
        <v>83</v>
      </c>
      <c r="Z94">
        <v>83</v>
      </c>
      <c r="AA94">
        <v>9</v>
      </c>
      <c r="AB94">
        <v>9</v>
      </c>
      <c r="AC94">
        <v>8</v>
      </c>
    </row>
    <row r="95" spans="1:29">
      <c r="A95">
        <v>94</v>
      </c>
      <c r="B95" t="s">
        <v>635</v>
      </c>
      <c r="C95" t="s">
        <v>789</v>
      </c>
      <c r="G95" t="s">
        <v>790</v>
      </c>
      <c r="J95" t="s">
        <v>618</v>
      </c>
      <c r="K95">
        <v>0</v>
      </c>
      <c r="N95" t="b">
        <v>1</v>
      </c>
      <c r="O95" t="b">
        <v>0</v>
      </c>
      <c r="P95" t="b">
        <v>0</v>
      </c>
      <c r="Q95">
        <v>17</v>
      </c>
      <c r="R95">
        <v>0</v>
      </c>
      <c r="S95">
        <v>1</v>
      </c>
      <c r="T95">
        <v>14</v>
      </c>
      <c r="U95" t="b">
        <v>1</v>
      </c>
      <c r="V95" t="s">
        <v>410</v>
      </c>
      <c r="W95" t="s">
        <v>411</v>
      </c>
      <c r="X95" t="s">
        <v>1076</v>
      </c>
      <c r="Y95">
        <v>87</v>
      </c>
      <c r="Z95">
        <v>87</v>
      </c>
      <c r="AA95">
        <v>9</v>
      </c>
      <c r="AB95">
        <v>9</v>
      </c>
      <c r="AC95">
        <v>8</v>
      </c>
    </row>
    <row r="96" spans="1:29">
      <c r="A96">
        <v>95</v>
      </c>
      <c r="B96" t="s">
        <v>635</v>
      </c>
      <c r="C96" t="s">
        <v>791</v>
      </c>
      <c r="G96" t="s">
        <v>792</v>
      </c>
      <c r="J96" t="s">
        <v>578</v>
      </c>
      <c r="K96">
        <v>0</v>
      </c>
      <c r="N96" t="b">
        <v>1</v>
      </c>
      <c r="O96" t="b">
        <v>0</v>
      </c>
      <c r="P96" t="b">
        <v>0</v>
      </c>
      <c r="Q96">
        <v>17</v>
      </c>
      <c r="R96">
        <v>0</v>
      </c>
      <c r="S96">
        <v>1</v>
      </c>
      <c r="T96">
        <v>2</v>
      </c>
      <c r="U96" t="b">
        <v>1</v>
      </c>
      <c r="V96" t="s">
        <v>410</v>
      </c>
      <c r="W96" t="s">
        <v>411</v>
      </c>
      <c r="X96" t="s">
        <v>1077</v>
      </c>
      <c r="Y96">
        <v>94</v>
      </c>
      <c r="Z96">
        <v>94</v>
      </c>
      <c r="AA96">
        <v>2</v>
      </c>
      <c r="AB96">
        <v>2</v>
      </c>
      <c r="AC96">
        <v>8</v>
      </c>
    </row>
    <row r="97" spans="1:29">
      <c r="A97">
        <v>96</v>
      </c>
      <c r="B97" t="s">
        <v>635</v>
      </c>
      <c r="C97" t="s">
        <v>793</v>
      </c>
      <c r="G97" t="s">
        <v>794</v>
      </c>
      <c r="J97" t="s">
        <v>578</v>
      </c>
      <c r="K97">
        <v>0</v>
      </c>
      <c r="N97" t="b">
        <v>1</v>
      </c>
      <c r="O97" t="b">
        <v>0</v>
      </c>
      <c r="P97" t="b">
        <v>0</v>
      </c>
      <c r="Q97">
        <v>17</v>
      </c>
      <c r="R97">
        <v>0</v>
      </c>
      <c r="S97">
        <v>1</v>
      </c>
      <c r="T97">
        <v>2</v>
      </c>
      <c r="U97" t="b">
        <v>1</v>
      </c>
      <c r="V97" t="s">
        <v>410</v>
      </c>
      <c r="W97" t="s">
        <v>411</v>
      </c>
      <c r="X97" t="s">
        <v>1078</v>
      </c>
      <c r="Y97">
        <v>95</v>
      </c>
      <c r="Z97">
        <v>95</v>
      </c>
      <c r="AA97">
        <v>2</v>
      </c>
      <c r="AB97">
        <v>2</v>
      </c>
      <c r="AC97">
        <v>8</v>
      </c>
    </row>
    <row r="98" spans="1:29">
      <c r="A98">
        <v>97</v>
      </c>
      <c r="B98" t="s">
        <v>635</v>
      </c>
      <c r="C98" t="s">
        <v>795</v>
      </c>
      <c r="G98" t="s">
        <v>796</v>
      </c>
      <c r="J98" t="s">
        <v>578</v>
      </c>
      <c r="K98">
        <v>0</v>
      </c>
      <c r="N98" t="b">
        <v>1</v>
      </c>
      <c r="O98" t="b">
        <v>0</v>
      </c>
      <c r="P98" t="b">
        <v>0</v>
      </c>
      <c r="Q98">
        <v>17</v>
      </c>
      <c r="R98">
        <v>0</v>
      </c>
      <c r="S98">
        <v>1</v>
      </c>
      <c r="T98">
        <v>2</v>
      </c>
      <c r="U98" t="b">
        <v>1</v>
      </c>
      <c r="V98" t="s">
        <v>410</v>
      </c>
      <c r="W98" t="s">
        <v>411</v>
      </c>
      <c r="X98" t="s">
        <v>1079</v>
      </c>
      <c r="Y98">
        <v>96</v>
      </c>
      <c r="Z98">
        <v>96</v>
      </c>
      <c r="AA98">
        <v>2</v>
      </c>
      <c r="AB98">
        <v>2</v>
      </c>
      <c r="AC98">
        <v>8</v>
      </c>
    </row>
    <row r="99" spans="1:29">
      <c r="A99">
        <v>98</v>
      </c>
      <c r="B99" t="s">
        <v>635</v>
      </c>
      <c r="C99" t="s">
        <v>797</v>
      </c>
      <c r="G99" t="s">
        <v>734</v>
      </c>
      <c r="J99" t="s">
        <v>578</v>
      </c>
      <c r="K99">
        <v>0</v>
      </c>
      <c r="N99" t="b">
        <v>1</v>
      </c>
      <c r="O99" t="b">
        <v>0</v>
      </c>
      <c r="P99" t="b">
        <v>0</v>
      </c>
      <c r="Q99">
        <v>17</v>
      </c>
      <c r="R99">
        <v>0</v>
      </c>
      <c r="S99">
        <v>1</v>
      </c>
      <c r="T99">
        <v>3</v>
      </c>
      <c r="U99" t="b">
        <v>1</v>
      </c>
      <c r="V99" t="s">
        <v>410</v>
      </c>
      <c r="W99" t="s">
        <v>411</v>
      </c>
      <c r="X99" t="s">
        <v>1080</v>
      </c>
      <c r="Y99">
        <v>102</v>
      </c>
      <c r="Z99">
        <v>102</v>
      </c>
      <c r="AA99">
        <v>2</v>
      </c>
      <c r="AB99">
        <v>2</v>
      </c>
      <c r="AC99">
        <v>8</v>
      </c>
    </row>
    <row r="100" spans="1:29">
      <c r="A100">
        <v>99</v>
      </c>
      <c r="B100" t="s">
        <v>635</v>
      </c>
      <c r="C100" t="s">
        <v>798</v>
      </c>
      <c r="G100" t="s">
        <v>734</v>
      </c>
      <c r="J100" t="s">
        <v>578</v>
      </c>
      <c r="K100">
        <v>0</v>
      </c>
      <c r="N100" t="b">
        <v>1</v>
      </c>
      <c r="O100" t="b">
        <v>0</v>
      </c>
      <c r="P100" t="b">
        <v>0</v>
      </c>
      <c r="Q100">
        <v>17</v>
      </c>
      <c r="R100">
        <v>0</v>
      </c>
      <c r="S100">
        <v>1</v>
      </c>
      <c r="T100">
        <v>6</v>
      </c>
      <c r="U100" t="b">
        <v>1</v>
      </c>
      <c r="V100" t="s">
        <v>410</v>
      </c>
      <c r="W100" t="s">
        <v>411</v>
      </c>
      <c r="X100" t="s">
        <v>1081</v>
      </c>
      <c r="Y100">
        <v>105</v>
      </c>
      <c r="Z100">
        <v>105</v>
      </c>
      <c r="AA100">
        <v>2</v>
      </c>
      <c r="AB100">
        <v>2</v>
      </c>
      <c r="AC100">
        <v>8</v>
      </c>
    </row>
    <row r="101" spans="1:29">
      <c r="A101">
        <v>100</v>
      </c>
      <c r="B101" t="s">
        <v>635</v>
      </c>
      <c r="C101" t="s">
        <v>799</v>
      </c>
      <c r="G101" t="s">
        <v>734</v>
      </c>
      <c r="J101" t="s">
        <v>578</v>
      </c>
      <c r="K101">
        <v>0</v>
      </c>
      <c r="N101" t="b">
        <v>1</v>
      </c>
      <c r="O101" t="b">
        <v>0</v>
      </c>
      <c r="P101" t="b">
        <v>0</v>
      </c>
      <c r="Q101">
        <v>17</v>
      </c>
      <c r="R101">
        <v>0</v>
      </c>
      <c r="S101">
        <v>1</v>
      </c>
      <c r="T101">
        <v>3</v>
      </c>
      <c r="U101" t="b">
        <v>1</v>
      </c>
      <c r="V101" t="s">
        <v>410</v>
      </c>
      <c r="W101" t="s">
        <v>411</v>
      </c>
      <c r="X101" t="s">
        <v>1082</v>
      </c>
      <c r="Y101">
        <v>102</v>
      </c>
      <c r="Z101">
        <v>102</v>
      </c>
      <c r="AA101">
        <v>5</v>
      </c>
      <c r="AB101">
        <v>5</v>
      </c>
      <c r="AC101">
        <v>8</v>
      </c>
    </row>
    <row r="102" spans="1:29">
      <c r="A102">
        <v>101</v>
      </c>
      <c r="B102" t="s">
        <v>635</v>
      </c>
      <c r="C102" t="s">
        <v>800</v>
      </c>
      <c r="G102" t="s">
        <v>734</v>
      </c>
      <c r="J102" t="s">
        <v>576</v>
      </c>
      <c r="K102">
        <v>0</v>
      </c>
      <c r="N102" t="b">
        <v>1</v>
      </c>
      <c r="O102" t="b">
        <v>0</v>
      </c>
      <c r="P102" t="b">
        <v>0</v>
      </c>
      <c r="Q102">
        <v>17</v>
      </c>
      <c r="R102">
        <v>0</v>
      </c>
      <c r="S102">
        <v>1</v>
      </c>
      <c r="T102">
        <v>6</v>
      </c>
      <c r="U102" t="b">
        <v>1</v>
      </c>
      <c r="V102" t="s">
        <v>410</v>
      </c>
      <c r="W102" t="s">
        <v>411</v>
      </c>
      <c r="X102" t="s">
        <v>1083</v>
      </c>
      <c r="Y102">
        <v>105</v>
      </c>
      <c r="Z102">
        <v>105</v>
      </c>
      <c r="AA102">
        <v>5</v>
      </c>
      <c r="AB102">
        <v>5</v>
      </c>
      <c r="AC102">
        <v>8</v>
      </c>
    </row>
    <row r="103" spans="1:29">
      <c r="A103">
        <v>102</v>
      </c>
      <c r="B103" t="s">
        <v>635</v>
      </c>
      <c r="C103" t="s">
        <v>801</v>
      </c>
      <c r="G103" t="s">
        <v>734</v>
      </c>
      <c r="J103" t="s">
        <v>580</v>
      </c>
      <c r="K103">
        <v>0</v>
      </c>
      <c r="N103" t="b">
        <v>1</v>
      </c>
      <c r="O103" t="b">
        <v>0</v>
      </c>
      <c r="P103" t="b">
        <v>0</v>
      </c>
      <c r="Q103">
        <v>17</v>
      </c>
      <c r="R103">
        <v>0</v>
      </c>
      <c r="S103">
        <v>1</v>
      </c>
      <c r="T103">
        <v>3</v>
      </c>
      <c r="U103" t="b">
        <v>1</v>
      </c>
      <c r="V103" t="s">
        <v>410</v>
      </c>
      <c r="W103" t="s">
        <v>411</v>
      </c>
      <c r="X103" t="s">
        <v>1084</v>
      </c>
      <c r="Y103">
        <v>102</v>
      </c>
      <c r="Z103">
        <v>102</v>
      </c>
      <c r="AA103">
        <v>11</v>
      </c>
      <c r="AB103">
        <v>11</v>
      </c>
      <c r="AC103">
        <v>8</v>
      </c>
    </row>
    <row r="104" spans="1:29">
      <c r="A104">
        <v>103</v>
      </c>
      <c r="B104" t="s">
        <v>635</v>
      </c>
      <c r="C104" t="s">
        <v>802</v>
      </c>
      <c r="G104" t="s">
        <v>734</v>
      </c>
      <c r="J104" t="s">
        <v>578</v>
      </c>
      <c r="K104">
        <v>0</v>
      </c>
      <c r="N104" t="b">
        <v>1</v>
      </c>
      <c r="O104" t="b">
        <v>0</v>
      </c>
      <c r="P104" t="b">
        <v>0</v>
      </c>
      <c r="Q104">
        <v>17</v>
      </c>
      <c r="R104">
        <v>0</v>
      </c>
      <c r="S104">
        <v>1</v>
      </c>
      <c r="T104">
        <v>6</v>
      </c>
      <c r="U104" t="b">
        <v>1</v>
      </c>
      <c r="V104" t="s">
        <v>410</v>
      </c>
      <c r="W104" t="s">
        <v>411</v>
      </c>
      <c r="X104" t="s">
        <v>1085</v>
      </c>
      <c r="Y104">
        <v>105</v>
      </c>
      <c r="Z104">
        <v>105</v>
      </c>
      <c r="AA104">
        <v>11</v>
      </c>
      <c r="AB104">
        <v>11</v>
      </c>
      <c r="AC104">
        <v>8</v>
      </c>
    </row>
    <row r="105" spans="1:29">
      <c r="A105">
        <v>104</v>
      </c>
      <c r="B105" t="s">
        <v>635</v>
      </c>
      <c r="C105" t="s">
        <v>803</v>
      </c>
      <c r="I105" t="s">
        <v>67</v>
      </c>
      <c r="J105" t="s">
        <v>578</v>
      </c>
      <c r="K105">
        <v>0</v>
      </c>
      <c r="N105" t="b">
        <v>1</v>
      </c>
      <c r="O105" t="b">
        <v>0</v>
      </c>
      <c r="P105" t="b">
        <v>0</v>
      </c>
      <c r="Q105">
        <v>17</v>
      </c>
      <c r="R105">
        <v>2</v>
      </c>
      <c r="S105">
        <v>1</v>
      </c>
      <c r="T105">
        <v>0</v>
      </c>
      <c r="U105" t="b">
        <v>1</v>
      </c>
      <c r="V105" t="s">
        <v>410</v>
      </c>
      <c r="W105" t="s">
        <v>411</v>
      </c>
      <c r="X105" t="s">
        <v>1086</v>
      </c>
      <c r="Y105">
        <v>112</v>
      </c>
      <c r="Z105">
        <v>112</v>
      </c>
      <c r="AA105">
        <v>3</v>
      </c>
      <c r="AB105">
        <v>3</v>
      </c>
      <c r="AC105">
        <v>8</v>
      </c>
    </row>
    <row r="106" spans="1:29">
      <c r="A106">
        <v>105</v>
      </c>
      <c r="B106" t="s">
        <v>635</v>
      </c>
      <c r="C106" t="s">
        <v>804</v>
      </c>
      <c r="I106" t="s">
        <v>67</v>
      </c>
      <c r="J106" t="s">
        <v>578</v>
      </c>
      <c r="K106">
        <v>0</v>
      </c>
      <c r="N106" t="b">
        <v>1</v>
      </c>
      <c r="O106" t="b">
        <v>0</v>
      </c>
      <c r="P106" t="b">
        <v>0</v>
      </c>
      <c r="Q106">
        <v>17</v>
      </c>
      <c r="R106">
        <v>2</v>
      </c>
      <c r="S106">
        <v>1</v>
      </c>
      <c r="T106">
        <v>0</v>
      </c>
      <c r="U106" t="b">
        <v>1</v>
      </c>
      <c r="V106" t="s">
        <v>410</v>
      </c>
      <c r="W106" t="s">
        <v>411</v>
      </c>
      <c r="X106" t="s">
        <v>1087</v>
      </c>
      <c r="Y106">
        <v>113</v>
      </c>
      <c r="Z106">
        <v>113</v>
      </c>
      <c r="AA106">
        <v>3</v>
      </c>
      <c r="AB106">
        <v>3</v>
      </c>
      <c r="AC106">
        <v>8</v>
      </c>
    </row>
    <row r="107" spans="1:29">
      <c r="A107">
        <v>106</v>
      </c>
      <c r="B107" t="s">
        <v>635</v>
      </c>
      <c r="C107" t="s">
        <v>805</v>
      </c>
      <c r="I107" t="s">
        <v>67</v>
      </c>
      <c r="J107" t="s">
        <v>576</v>
      </c>
      <c r="K107">
        <v>0</v>
      </c>
      <c r="N107" t="b">
        <v>1</v>
      </c>
      <c r="O107" t="b">
        <v>0</v>
      </c>
      <c r="P107" t="b">
        <v>0</v>
      </c>
      <c r="Q107">
        <v>17</v>
      </c>
      <c r="R107">
        <v>2</v>
      </c>
      <c r="S107">
        <v>1</v>
      </c>
      <c r="T107">
        <v>0</v>
      </c>
      <c r="U107" t="b">
        <v>1</v>
      </c>
      <c r="V107" t="s">
        <v>410</v>
      </c>
      <c r="W107" t="s">
        <v>411</v>
      </c>
      <c r="X107" t="s">
        <v>1088</v>
      </c>
      <c r="Y107">
        <v>114</v>
      </c>
      <c r="Z107">
        <v>114</v>
      </c>
      <c r="AA107">
        <v>3</v>
      </c>
      <c r="AB107">
        <v>3</v>
      </c>
      <c r="AC107">
        <v>8</v>
      </c>
    </row>
    <row r="108" spans="1:29">
      <c r="A108">
        <v>107</v>
      </c>
      <c r="B108" t="s">
        <v>635</v>
      </c>
      <c r="C108" t="s">
        <v>806</v>
      </c>
      <c r="I108" t="s">
        <v>67</v>
      </c>
      <c r="J108" t="s">
        <v>578</v>
      </c>
      <c r="K108">
        <v>0</v>
      </c>
      <c r="N108" t="b">
        <v>1</v>
      </c>
      <c r="O108" t="b">
        <v>0</v>
      </c>
      <c r="P108" t="b">
        <v>0</v>
      </c>
      <c r="Q108">
        <v>17</v>
      </c>
      <c r="R108">
        <v>2</v>
      </c>
      <c r="S108">
        <v>1</v>
      </c>
      <c r="T108">
        <v>0</v>
      </c>
      <c r="U108" t="b">
        <v>1</v>
      </c>
      <c r="V108" t="s">
        <v>410</v>
      </c>
      <c r="W108" t="s">
        <v>411</v>
      </c>
      <c r="X108" t="s">
        <v>1089</v>
      </c>
      <c r="Y108">
        <v>115</v>
      </c>
      <c r="Z108">
        <v>115</v>
      </c>
      <c r="AA108">
        <v>3</v>
      </c>
      <c r="AB108">
        <v>3</v>
      </c>
      <c r="AC108">
        <v>8</v>
      </c>
    </row>
    <row r="109" spans="1:29">
      <c r="A109">
        <v>108</v>
      </c>
      <c r="B109" t="s">
        <v>635</v>
      </c>
      <c r="C109" t="s">
        <v>807</v>
      </c>
      <c r="I109" t="s">
        <v>67</v>
      </c>
      <c r="J109" t="s">
        <v>578</v>
      </c>
      <c r="K109">
        <v>0</v>
      </c>
      <c r="N109" t="b">
        <v>1</v>
      </c>
      <c r="O109" t="b">
        <v>0</v>
      </c>
      <c r="P109" t="b">
        <v>0</v>
      </c>
      <c r="Q109">
        <v>17</v>
      </c>
      <c r="R109">
        <v>2</v>
      </c>
      <c r="S109">
        <v>1</v>
      </c>
      <c r="T109">
        <v>0</v>
      </c>
      <c r="U109" t="b">
        <v>1</v>
      </c>
      <c r="V109" t="s">
        <v>410</v>
      </c>
      <c r="W109" t="s">
        <v>411</v>
      </c>
      <c r="X109" t="s">
        <v>1090</v>
      </c>
      <c r="Y109">
        <v>116</v>
      </c>
      <c r="Z109">
        <v>116</v>
      </c>
      <c r="AA109">
        <v>3</v>
      </c>
      <c r="AB109">
        <v>3</v>
      </c>
      <c r="AC109">
        <v>8</v>
      </c>
    </row>
    <row r="110" spans="1:29">
      <c r="A110">
        <v>109</v>
      </c>
      <c r="B110" t="s">
        <v>635</v>
      </c>
      <c r="C110" t="s">
        <v>808</v>
      </c>
      <c r="I110" t="s">
        <v>67</v>
      </c>
      <c r="J110" t="s">
        <v>578</v>
      </c>
      <c r="K110">
        <v>0</v>
      </c>
      <c r="N110" t="b">
        <v>1</v>
      </c>
      <c r="O110" t="b">
        <v>0</v>
      </c>
      <c r="P110" t="b">
        <v>0</v>
      </c>
      <c r="Q110">
        <v>17</v>
      </c>
      <c r="R110">
        <v>2</v>
      </c>
      <c r="S110">
        <v>1</v>
      </c>
      <c r="T110">
        <v>0</v>
      </c>
      <c r="U110" t="b">
        <v>1</v>
      </c>
      <c r="V110" t="s">
        <v>410</v>
      </c>
      <c r="W110" t="s">
        <v>411</v>
      </c>
      <c r="X110" t="s">
        <v>1091</v>
      </c>
      <c r="Y110">
        <v>117</v>
      </c>
      <c r="Z110">
        <v>117</v>
      </c>
      <c r="AA110">
        <v>3</v>
      </c>
      <c r="AB110">
        <v>3</v>
      </c>
      <c r="AC110">
        <v>8</v>
      </c>
    </row>
    <row r="111" spans="1:29">
      <c r="A111">
        <v>110</v>
      </c>
      <c r="B111" t="s">
        <v>635</v>
      </c>
      <c r="C111" t="s">
        <v>809</v>
      </c>
      <c r="I111" t="s">
        <v>68</v>
      </c>
      <c r="J111" t="s">
        <v>578</v>
      </c>
      <c r="K111">
        <v>0</v>
      </c>
      <c r="N111" t="b">
        <v>1</v>
      </c>
      <c r="O111" t="b">
        <v>0</v>
      </c>
      <c r="P111" t="b">
        <v>0</v>
      </c>
      <c r="Q111">
        <v>17</v>
      </c>
      <c r="R111">
        <v>9</v>
      </c>
      <c r="S111">
        <v>1</v>
      </c>
      <c r="T111">
        <v>0</v>
      </c>
      <c r="U111" t="b">
        <v>1</v>
      </c>
      <c r="V111" t="s">
        <v>410</v>
      </c>
      <c r="W111" t="s">
        <v>411</v>
      </c>
      <c r="X111" t="s">
        <v>1092</v>
      </c>
      <c r="Y111">
        <v>112</v>
      </c>
      <c r="Z111">
        <v>112</v>
      </c>
      <c r="AA111">
        <v>10</v>
      </c>
      <c r="AB111">
        <v>10</v>
      </c>
      <c r="AC111">
        <v>8</v>
      </c>
    </row>
    <row r="112" spans="1:29">
      <c r="A112">
        <v>111</v>
      </c>
      <c r="B112" t="s">
        <v>635</v>
      </c>
      <c r="C112" t="s">
        <v>810</v>
      </c>
      <c r="I112" t="s">
        <v>68</v>
      </c>
      <c r="J112" t="s">
        <v>578</v>
      </c>
      <c r="K112">
        <v>0</v>
      </c>
      <c r="N112" t="b">
        <v>1</v>
      </c>
      <c r="O112" t="b">
        <v>0</v>
      </c>
      <c r="P112" t="b">
        <v>0</v>
      </c>
      <c r="Q112">
        <v>17</v>
      </c>
      <c r="R112">
        <v>9</v>
      </c>
      <c r="S112">
        <v>1</v>
      </c>
      <c r="T112">
        <v>0</v>
      </c>
      <c r="U112" t="b">
        <v>1</v>
      </c>
      <c r="V112" t="s">
        <v>410</v>
      </c>
      <c r="W112" t="s">
        <v>411</v>
      </c>
      <c r="X112" t="s">
        <v>1093</v>
      </c>
      <c r="Y112">
        <v>113</v>
      </c>
      <c r="Z112">
        <v>113</v>
      </c>
      <c r="AA112">
        <v>10</v>
      </c>
      <c r="AB112">
        <v>10</v>
      </c>
      <c r="AC112">
        <v>8</v>
      </c>
    </row>
    <row r="113" spans="1:29">
      <c r="A113">
        <v>112</v>
      </c>
      <c r="B113" t="s">
        <v>635</v>
      </c>
      <c r="C113" t="s">
        <v>811</v>
      </c>
      <c r="I113" t="s">
        <v>68</v>
      </c>
      <c r="J113" t="s">
        <v>578</v>
      </c>
      <c r="K113">
        <v>0</v>
      </c>
      <c r="N113" t="b">
        <v>1</v>
      </c>
      <c r="O113" t="b">
        <v>0</v>
      </c>
      <c r="P113" t="b">
        <v>0</v>
      </c>
      <c r="Q113">
        <v>17</v>
      </c>
      <c r="R113">
        <v>9</v>
      </c>
      <c r="S113">
        <v>1</v>
      </c>
      <c r="T113">
        <v>0</v>
      </c>
      <c r="U113" t="b">
        <v>1</v>
      </c>
      <c r="V113" t="s">
        <v>410</v>
      </c>
      <c r="W113" t="s">
        <v>411</v>
      </c>
      <c r="X113" t="s">
        <v>1094</v>
      </c>
      <c r="Y113">
        <v>114</v>
      </c>
      <c r="Z113">
        <v>114</v>
      </c>
      <c r="AA113">
        <v>10</v>
      </c>
      <c r="AB113">
        <v>10</v>
      </c>
      <c r="AC113">
        <v>8</v>
      </c>
    </row>
    <row r="114" spans="1:29">
      <c r="A114">
        <v>113</v>
      </c>
      <c r="B114" t="s">
        <v>635</v>
      </c>
      <c r="C114" t="s">
        <v>812</v>
      </c>
      <c r="I114" t="s">
        <v>68</v>
      </c>
      <c r="J114" t="s">
        <v>576</v>
      </c>
      <c r="K114">
        <v>0</v>
      </c>
      <c r="N114" t="b">
        <v>1</v>
      </c>
      <c r="O114" t="b">
        <v>0</v>
      </c>
      <c r="P114" t="b">
        <v>0</v>
      </c>
      <c r="Q114">
        <v>17</v>
      </c>
      <c r="R114">
        <v>9</v>
      </c>
      <c r="S114">
        <v>1</v>
      </c>
      <c r="T114">
        <v>0</v>
      </c>
      <c r="U114" t="b">
        <v>1</v>
      </c>
      <c r="V114" t="s">
        <v>410</v>
      </c>
      <c r="W114" t="s">
        <v>411</v>
      </c>
      <c r="X114" t="s">
        <v>1095</v>
      </c>
      <c r="Y114">
        <v>115</v>
      </c>
      <c r="Z114">
        <v>115</v>
      </c>
      <c r="AA114">
        <v>10</v>
      </c>
      <c r="AB114">
        <v>10</v>
      </c>
      <c r="AC114">
        <v>8</v>
      </c>
    </row>
    <row r="115" spans="1:29">
      <c r="A115">
        <v>114</v>
      </c>
      <c r="B115" t="s">
        <v>635</v>
      </c>
      <c r="C115" t="s">
        <v>813</v>
      </c>
      <c r="I115" t="s">
        <v>68</v>
      </c>
      <c r="J115" t="s">
        <v>578</v>
      </c>
      <c r="K115">
        <v>0</v>
      </c>
      <c r="N115" t="b">
        <v>1</v>
      </c>
      <c r="O115" t="b">
        <v>0</v>
      </c>
      <c r="P115" t="b">
        <v>0</v>
      </c>
      <c r="Q115">
        <v>17</v>
      </c>
      <c r="R115">
        <v>9</v>
      </c>
      <c r="S115">
        <v>1</v>
      </c>
      <c r="T115">
        <v>0</v>
      </c>
      <c r="U115" t="b">
        <v>1</v>
      </c>
      <c r="V115" t="s">
        <v>410</v>
      </c>
      <c r="W115" t="s">
        <v>411</v>
      </c>
      <c r="X115" t="s">
        <v>1096</v>
      </c>
      <c r="Y115">
        <v>116</v>
      </c>
      <c r="Z115">
        <v>116</v>
      </c>
      <c r="AA115">
        <v>10</v>
      </c>
      <c r="AB115">
        <v>10</v>
      </c>
      <c r="AC115">
        <v>8</v>
      </c>
    </row>
    <row r="116" spans="1:29">
      <c r="A116">
        <v>115</v>
      </c>
      <c r="B116" t="s">
        <v>628</v>
      </c>
      <c r="C116" t="s">
        <v>814</v>
      </c>
      <c r="D116" t="s">
        <v>815</v>
      </c>
      <c r="E116" t="s">
        <v>816</v>
      </c>
      <c r="U116" t="b">
        <v>1</v>
      </c>
      <c r="V116" t="s">
        <v>412</v>
      </c>
      <c r="W116" t="s">
        <v>413</v>
      </c>
      <c r="X116" t="s">
        <v>1022</v>
      </c>
      <c r="Y116">
        <v>1</v>
      </c>
      <c r="Z116">
        <v>28</v>
      </c>
      <c r="AA116">
        <v>1</v>
      </c>
      <c r="AB116">
        <v>17</v>
      </c>
      <c r="AC116">
        <v>12</v>
      </c>
    </row>
    <row r="117" spans="1:29">
      <c r="A117">
        <v>116</v>
      </c>
      <c r="B117" t="s">
        <v>631</v>
      </c>
      <c r="C117" t="s">
        <v>817</v>
      </c>
      <c r="U117" t="b">
        <v>1</v>
      </c>
      <c r="V117" t="s">
        <v>412</v>
      </c>
      <c r="W117" t="s">
        <v>413</v>
      </c>
      <c r="X117" t="s">
        <v>1023</v>
      </c>
      <c r="Y117">
        <v>2</v>
      </c>
      <c r="Z117">
        <v>28</v>
      </c>
      <c r="AA117">
        <v>1</v>
      </c>
      <c r="AB117">
        <v>17</v>
      </c>
      <c r="AC117">
        <v>12</v>
      </c>
    </row>
    <row r="118" spans="1:29">
      <c r="A118">
        <v>117</v>
      </c>
      <c r="B118" t="s">
        <v>633</v>
      </c>
      <c r="C118" t="s">
        <v>818</v>
      </c>
      <c r="U118" t="b">
        <v>1</v>
      </c>
      <c r="V118" t="s">
        <v>412</v>
      </c>
      <c r="W118" t="s">
        <v>413</v>
      </c>
      <c r="X118" t="s">
        <v>1024</v>
      </c>
      <c r="Y118">
        <v>2</v>
      </c>
      <c r="Z118">
        <v>6</v>
      </c>
      <c r="AA118">
        <v>3</v>
      </c>
      <c r="AB118">
        <v>3</v>
      </c>
      <c r="AC118">
        <v>12</v>
      </c>
    </row>
    <row r="119" spans="1:29">
      <c r="A119">
        <v>118</v>
      </c>
      <c r="B119" t="s">
        <v>633</v>
      </c>
      <c r="C119" t="s">
        <v>819</v>
      </c>
      <c r="U119" t="b">
        <v>1</v>
      </c>
      <c r="V119" t="s">
        <v>412</v>
      </c>
      <c r="W119" t="s">
        <v>413</v>
      </c>
      <c r="X119" t="s">
        <v>1025</v>
      </c>
      <c r="Y119">
        <v>2</v>
      </c>
      <c r="Z119">
        <v>6</v>
      </c>
      <c r="AA119">
        <v>5</v>
      </c>
      <c r="AB119">
        <v>5</v>
      </c>
      <c r="AC119">
        <v>12</v>
      </c>
    </row>
    <row r="120" spans="1:29">
      <c r="A120">
        <v>119</v>
      </c>
      <c r="B120" t="s">
        <v>633</v>
      </c>
      <c r="C120" t="s">
        <v>820</v>
      </c>
      <c r="U120" t="b">
        <v>1</v>
      </c>
      <c r="V120" t="s">
        <v>412</v>
      </c>
      <c r="W120" t="s">
        <v>413</v>
      </c>
      <c r="X120" t="s">
        <v>1026</v>
      </c>
      <c r="Y120">
        <v>2</v>
      </c>
      <c r="Z120">
        <v>3</v>
      </c>
      <c r="AA120">
        <v>11</v>
      </c>
      <c r="AB120">
        <v>11</v>
      </c>
      <c r="AC120">
        <v>12</v>
      </c>
    </row>
    <row r="121" spans="1:29">
      <c r="A121">
        <v>120</v>
      </c>
      <c r="B121" t="s">
        <v>633</v>
      </c>
      <c r="C121" t="s">
        <v>821</v>
      </c>
      <c r="U121" t="b">
        <v>1</v>
      </c>
      <c r="V121" t="s">
        <v>412</v>
      </c>
      <c r="W121" t="s">
        <v>413</v>
      </c>
      <c r="X121" t="s">
        <v>1027</v>
      </c>
      <c r="Y121">
        <v>8</v>
      </c>
      <c r="Z121">
        <v>9</v>
      </c>
      <c r="AA121">
        <v>3</v>
      </c>
      <c r="AB121">
        <v>7</v>
      </c>
      <c r="AC121">
        <v>12</v>
      </c>
    </row>
    <row r="122" spans="1:29">
      <c r="A122">
        <v>121</v>
      </c>
      <c r="B122" t="s">
        <v>633</v>
      </c>
      <c r="C122" t="s">
        <v>822</v>
      </c>
      <c r="U122" t="b">
        <v>1</v>
      </c>
      <c r="V122" t="s">
        <v>412</v>
      </c>
      <c r="W122" t="s">
        <v>413</v>
      </c>
      <c r="X122" t="s">
        <v>1028</v>
      </c>
      <c r="Y122">
        <v>12</v>
      </c>
      <c r="Z122">
        <v>18</v>
      </c>
      <c r="AA122">
        <v>3</v>
      </c>
      <c r="AB122">
        <v>3</v>
      </c>
      <c r="AC122">
        <v>12</v>
      </c>
    </row>
    <row r="123" spans="1:29">
      <c r="A123">
        <v>122</v>
      </c>
      <c r="B123" t="s">
        <v>633</v>
      </c>
      <c r="C123" t="s">
        <v>823</v>
      </c>
      <c r="U123" t="b">
        <v>1</v>
      </c>
      <c r="V123" t="s">
        <v>412</v>
      </c>
      <c r="W123" t="s">
        <v>413</v>
      </c>
      <c r="X123" t="s">
        <v>1029</v>
      </c>
      <c r="Y123">
        <v>12</v>
      </c>
      <c r="Z123">
        <v>18</v>
      </c>
      <c r="AA123">
        <v>5</v>
      </c>
      <c r="AB123">
        <v>5</v>
      </c>
      <c r="AC123">
        <v>12</v>
      </c>
    </row>
    <row r="124" spans="1:29">
      <c r="A124">
        <v>123</v>
      </c>
      <c r="B124" t="s">
        <v>628</v>
      </c>
      <c r="C124" t="s">
        <v>824</v>
      </c>
      <c r="D124" t="s">
        <v>825</v>
      </c>
      <c r="E124" t="s">
        <v>826</v>
      </c>
      <c r="U124" t="b">
        <v>1</v>
      </c>
      <c r="V124" t="s">
        <v>412</v>
      </c>
      <c r="W124" t="s">
        <v>413</v>
      </c>
      <c r="X124" t="s">
        <v>1031</v>
      </c>
      <c r="Y124">
        <v>30</v>
      </c>
      <c r="Z124">
        <v>69</v>
      </c>
      <c r="AA124">
        <v>1</v>
      </c>
      <c r="AB124">
        <v>17</v>
      </c>
      <c r="AC124">
        <v>12</v>
      </c>
    </row>
    <row r="125" spans="1:29">
      <c r="A125">
        <v>124</v>
      </c>
      <c r="B125" t="s">
        <v>631</v>
      </c>
      <c r="C125" t="s">
        <v>827</v>
      </c>
      <c r="U125" t="b">
        <v>1</v>
      </c>
      <c r="V125" t="s">
        <v>412</v>
      </c>
      <c r="W125" t="s">
        <v>413</v>
      </c>
      <c r="X125" t="s">
        <v>1032</v>
      </c>
      <c r="Y125">
        <v>31</v>
      </c>
      <c r="Z125">
        <v>69</v>
      </c>
      <c r="AA125">
        <v>1</v>
      </c>
      <c r="AB125">
        <v>17</v>
      </c>
      <c r="AC125">
        <v>12</v>
      </c>
    </row>
    <row r="126" spans="1:29">
      <c r="A126">
        <v>125</v>
      </c>
      <c r="B126" t="s">
        <v>633</v>
      </c>
      <c r="C126" t="s">
        <v>828</v>
      </c>
      <c r="U126" t="b">
        <v>1</v>
      </c>
      <c r="V126" t="s">
        <v>412</v>
      </c>
      <c r="W126" t="s">
        <v>413</v>
      </c>
      <c r="X126" t="s">
        <v>1033</v>
      </c>
      <c r="Y126">
        <v>31</v>
      </c>
      <c r="Z126">
        <v>51</v>
      </c>
      <c r="AA126">
        <v>9</v>
      </c>
      <c r="AB126">
        <v>9</v>
      </c>
      <c r="AC126">
        <v>12</v>
      </c>
    </row>
    <row r="127" spans="1:29">
      <c r="A127">
        <v>126</v>
      </c>
      <c r="B127" t="s">
        <v>633</v>
      </c>
      <c r="C127" t="s">
        <v>829</v>
      </c>
      <c r="U127" t="b">
        <v>1</v>
      </c>
      <c r="V127" t="s">
        <v>412</v>
      </c>
      <c r="W127" t="s">
        <v>413</v>
      </c>
      <c r="X127" t="s">
        <v>1034</v>
      </c>
      <c r="Y127">
        <v>56</v>
      </c>
      <c r="Z127">
        <v>69</v>
      </c>
      <c r="AA127">
        <v>2</v>
      </c>
      <c r="AB127">
        <v>5</v>
      </c>
      <c r="AC127">
        <v>12</v>
      </c>
    </row>
    <row r="128" spans="1:29">
      <c r="A128">
        <v>127</v>
      </c>
      <c r="B128" t="s">
        <v>633</v>
      </c>
      <c r="C128" t="s">
        <v>830</v>
      </c>
      <c r="U128" t="b">
        <v>1</v>
      </c>
      <c r="V128" t="s">
        <v>412</v>
      </c>
      <c r="W128" t="s">
        <v>413</v>
      </c>
      <c r="X128" t="s">
        <v>1035</v>
      </c>
      <c r="Y128">
        <v>56</v>
      </c>
      <c r="Z128">
        <v>69</v>
      </c>
      <c r="AA128">
        <v>7</v>
      </c>
      <c r="AB128">
        <v>7</v>
      </c>
      <c r="AC128">
        <v>12</v>
      </c>
    </row>
    <row r="129" spans="1:29">
      <c r="A129">
        <v>128</v>
      </c>
      <c r="B129" t="s">
        <v>633</v>
      </c>
      <c r="C129" t="s">
        <v>831</v>
      </c>
      <c r="U129" t="b">
        <v>1</v>
      </c>
      <c r="V129" t="s">
        <v>412</v>
      </c>
      <c r="W129" t="s">
        <v>413</v>
      </c>
      <c r="X129" t="s">
        <v>1036</v>
      </c>
      <c r="Y129">
        <v>56</v>
      </c>
      <c r="Z129">
        <v>69</v>
      </c>
      <c r="AA129">
        <v>9</v>
      </c>
      <c r="AB129">
        <v>9</v>
      </c>
      <c r="AC129">
        <v>12</v>
      </c>
    </row>
    <row r="130" spans="1:29">
      <c r="A130">
        <v>129</v>
      </c>
      <c r="B130" t="s">
        <v>628</v>
      </c>
      <c r="C130" t="s">
        <v>832</v>
      </c>
      <c r="D130" t="s">
        <v>833</v>
      </c>
      <c r="E130" t="s">
        <v>834</v>
      </c>
      <c r="U130" t="b">
        <v>1</v>
      </c>
      <c r="V130" t="s">
        <v>412</v>
      </c>
      <c r="W130" t="s">
        <v>413</v>
      </c>
      <c r="X130" t="s">
        <v>1037</v>
      </c>
      <c r="Y130">
        <v>72</v>
      </c>
      <c r="Z130">
        <v>117</v>
      </c>
      <c r="AA130">
        <v>1</v>
      </c>
      <c r="AB130">
        <v>17</v>
      </c>
      <c r="AC130">
        <v>12</v>
      </c>
    </row>
    <row r="131" spans="1:29">
      <c r="A131">
        <v>130</v>
      </c>
      <c r="B131" t="s">
        <v>631</v>
      </c>
      <c r="C131" t="s">
        <v>835</v>
      </c>
      <c r="U131" t="b">
        <v>1</v>
      </c>
      <c r="V131" t="s">
        <v>412</v>
      </c>
      <c r="W131" t="s">
        <v>413</v>
      </c>
      <c r="X131" t="s">
        <v>1038</v>
      </c>
      <c r="Y131">
        <v>73</v>
      </c>
      <c r="Z131">
        <v>117</v>
      </c>
      <c r="AA131">
        <v>1</v>
      </c>
      <c r="AB131">
        <v>17</v>
      </c>
      <c r="AC131">
        <v>12</v>
      </c>
    </row>
    <row r="132" spans="1:29">
      <c r="A132">
        <v>131</v>
      </c>
      <c r="B132" t="s">
        <v>633</v>
      </c>
      <c r="C132" t="s">
        <v>836</v>
      </c>
      <c r="U132" t="b">
        <v>1</v>
      </c>
      <c r="V132" t="s">
        <v>412</v>
      </c>
      <c r="W132" t="s">
        <v>413</v>
      </c>
      <c r="X132" t="s">
        <v>1039</v>
      </c>
      <c r="Y132">
        <v>73</v>
      </c>
      <c r="Z132">
        <v>87</v>
      </c>
      <c r="AA132">
        <v>9</v>
      </c>
      <c r="AB132">
        <v>9</v>
      </c>
      <c r="AC132">
        <v>12</v>
      </c>
    </row>
    <row r="133" spans="1:29">
      <c r="A133">
        <v>132</v>
      </c>
      <c r="B133" t="s">
        <v>633</v>
      </c>
      <c r="C133" t="s">
        <v>837</v>
      </c>
      <c r="U133" t="b">
        <v>1</v>
      </c>
      <c r="V133" t="s">
        <v>412</v>
      </c>
      <c r="W133" t="s">
        <v>413</v>
      </c>
      <c r="X133" t="s">
        <v>1040</v>
      </c>
      <c r="Y133">
        <v>92</v>
      </c>
      <c r="Z133">
        <v>96</v>
      </c>
      <c r="AA133">
        <v>2</v>
      </c>
      <c r="AB133">
        <v>14</v>
      </c>
      <c r="AC133">
        <v>12</v>
      </c>
    </row>
    <row r="134" spans="1:29">
      <c r="A134">
        <v>133</v>
      </c>
      <c r="B134" t="s">
        <v>633</v>
      </c>
      <c r="C134" t="s">
        <v>838</v>
      </c>
      <c r="U134" t="b">
        <v>1</v>
      </c>
      <c r="V134" t="s">
        <v>412</v>
      </c>
      <c r="W134" t="s">
        <v>413</v>
      </c>
      <c r="X134" t="s">
        <v>1041</v>
      </c>
      <c r="Y134">
        <v>101</v>
      </c>
      <c r="Z134">
        <v>105</v>
      </c>
      <c r="AA134">
        <v>2</v>
      </c>
      <c r="AB134">
        <v>2</v>
      </c>
      <c r="AC134">
        <v>12</v>
      </c>
    </row>
    <row r="135" spans="1:29">
      <c r="A135">
        <v>134</v>
      </c>
      <c r="B135" t="s">
        <v>633</v>
      </c>
      <c r="C135" t="s">
        <v>839</v>
      </c>
      <c r="U135" t="b">
        <v>1</v>
      </c>
      <c r="V135" t="s">
        <v>412</v>
      </c>
      <c r="W135" t="s">
        <v>413</v>
      </c>
      <c r="X135" t="s">
        <v>1042</v>
      </c>
      <c r="Y135">
        <v>101</v>
      </c>
      <c r="Z135">
        <v>105</v>
      </c>
      <c r="AA135">
        <v>5</v>
      </c>
      <c r="AB135">
        <v>7</v>
      </c>
      <c r="AC135">
        <v>12</v>
      </c>
    </row>
    <row r="136" spans="1:29">
      <c r="A136">
        <v>135</v>
      </c>
      <c r="B136" t="s">
        <v>633</v>
      </c>
      <c r="C136" t="s">
        <v>840</v>
      </c>
      <c r="U136" t="b">
        <v>1</v>
      </c>
      <c r="V136" t="s">
        <v>412</v>
      </c>
      <c r="W136" t="s">
        <v>413</v>
      </c>
      <c r="X136" t="s">
        <v>1043</v>
      </c>
      <c r="Y136">
        <v>101</v>
      </c>
      <c r="Z136">
        <v>105</v>
      </c>
      <c r="AA136">
        <v>11</v>
      </c>
      <c r="AB136">
        <v>13</v>
      </c>
      <c r="AC136">
        <v>12</v>
      </c>
    </row>
    <row r="137" spans="1:29">
      <c r="A137">
        <v>136</v>
      </c>
      <c r="B137" t="s">
        <v>633</v>
      </c>
      <c r="C137" t="s">
        <v>841</v>
      </c>
      <c r="U137" t="b">
        <v>1</v>
      </c>
      <c r="V137" t="s">
        <v>412</v>
      </c>
      <c r="W137" t="s">
        <v>413</v>
      </c>
      <c r="X137" t="s">
        <v>1044</v>
      </c>
      <c r="Y137">
        <v>110</v>
      </c>
      <c r="Z137">
        <v>117</v>
      </c>
      <c r="AA137">
        <v>3</v>
      </c>
      <c r="AB137">
        <v>6</v>
      </c>
      <c r="AC137">
        <v>12</v>
      </c>
    </row>
    <row r="138" spans="1:29">
      <c r="A138">
        <v>137</v>
      </c>
      <c r="B138" t="s">
        <v>633</v>
      </c>
      <c r="C138" t="s">
        <v>842</v>
      </c>
      <c r="U138" t="b">
        <v>1</v>
      </c>
      <c r="V138" t="s">
        <v>412</v>
      </c>
      <c r="W138" t="s">
        <v>413</v>
      </c>
      <c r="X138" t="s">
        <v>1045</v>
      </c>
      <c r="Y138">
        <v>110</v>
      </c>
      <c r="Z138">
        <v>116</v>
      </c>
      <c r="AA138">
        <v>10</v>
      </c>
      <c r="AB138">
        <v>13</v>
      </c>
      <c r="AC138">
        <v>12</v>
      </c>
    </row>
    <row r="139" spans="1:29">
      <c r="A139">
        <v>138</v>
      </c>
      <c r="B139" t="s">
        <v>635</v>
      </c>
      <c r="C139" t="s">
        <v>843</v>
      </c>
      <c r="G139" t="s">
        <v>1138</v>
      </c>
      <c r="I139" t="s">
        <v>150</v>
      </c>
      <c r="J139" t="s">
        <v>578</v>
      </c>
      <c r="K139">
        <v>0</v>
      </c>
      <c r="N139" t="b">
        <v>1</v>
      </c>
      <c r="O139" t="b">
        <v>1</v>
      </c>
      <c r="P139" t="b">
        <v>0</v>
      </c>
      <c r="Q139">
        <v>17</v>
      </c>
      <c r="R139">
        <v>0</v>
      </c>
      <c r="S139">
        <v>1</v>
      </c>
      <c r="T139">
        <v>0</v>
      </c>
      <c r="U139" t="b">
        <v>1</v>
      </c>
      <c r="V139" t="s">
        <v>412</v>
      </c>
      <c r="W139" t="s">
        <v>413</v>
      </c>
      <c r="X139" t="s">
        <v>1046</v>
      </c>
      <c r="Y139">
        <v>3</v>
      </c>
      <c r="Z139">
        <v>3</v>
      </c>
      <c r="AA139">
        <v>11</v>
      </c>
      <c r="AB139">
        <v>11</v>
      </c>
      <c r="AC139">
        <v>12</v>
      </c>
    </row>
    <row r="140" spans="1:29">
      <c r="A140">
        <v>139</v>
      </c>
      <c r="B140" t="s">
        <v>635</v>
      </c>
      <c r="C140" t="s">
        <v>844</v>
      </c>
      <c r="G140" t="s">
        <v>1136</v>
      </c>
      <c r="I140" t="s">
        <v>736</v>
      </c>
      <c r="J140" t="s">
        <v>580</v>
      </c>
      <c r="K140">
        <v>0</v>
      </c>
      <c r="N140" t="b">
        <v>1</v>
      </c>
      <c r="O140" t="b">
        <v>1</v>
      </c>
      <c r="P140" t="b">
        <v>0</v>
      </c>
      <c r="Q140">
        <v>17</v>
      </c>
      <c r="R140">
        <v>0</v>
      </c>
      <c r="S140">
        <v>1</v>
      </c>
      <c r="T140">
        <v>0</v>
      </c>
      <c r="U140" t="b">
        <v>1</v>
      </c>
      <c r="V140" t="s">
        <v>412</v>
      </c>
      <c r="W140" t="s">
        <v>413</v>
      </c>
      <c r="X140" t="s">
        <v>454</v>
      </c>
      <c r="Y140">
        <v>6</v>
      </c>
      <c r="Z140">
        <v>6</v>
      </c>
      <c r="AA140">
        <v>3</v>
      </c>
      <c r="AB140">
        <v>3</v>
      </c>
      <c r="AC140">
        <v>12</v>
      </c>
    </row>
    <row r="141" spans="1:29">
      <c r="A141">
        <v>140</v>
      </c>
      <c r="B141" t="s">
        <v>635</v>
      </c>
      <c r="C141" t="s">
        <v>845</v>
      </c>
      <c r="G141" t="s">
        <v>1137</v>
      </c>
      <c r="I141" t="s">
        <v>738</v>
      </c>
      <c r="J141" t="s">
        <v>580</v>
      </c>
      <c r="K141">
        <v>0</v>
      </c>
      <c r="N141" t="b">
        <v>1</v>
      </c>
      <c r="O141" t="b">
        <v>1</v>
      </c>
      <c r="P141" t="b">
        <v>0</v>
      </c>
      <c r="Q141">
        <v>17</v>
      </c>
      <c r="R141">
        <v>0</v>
      </c>
      <c r="S141">
        <v>1</v>
      </c>
      <c r="T141">
        <v>0</v>
      </c>
      <c r="U141" t="b">
        <v>1</v>
      </c>
      <c r="V141" t="s">
        <v>412</v>
      </c>
      <c r="W141" t="s">
        <v>413</v>
      </c>
      <c r="X141" t="s">
        <v>1047</v>
      </c>
      <c r="Y141">
        <v>6</v>
      </c>
      <c r="Z141">
        <v>6</v>
      </c>
      <c r="AA141">
        <v>5</v>
      </c>
      <c r="AB141">
        <v>5</v>
      </c>
      <c r="AC141">
        <v>12</v>
      </c>
    </row>
    <row r="142" spans="1:29">
      <c r="A142">
        <v>141</v>
      </c>
      <c r="B142" t="s">
        <v>635</v>
      </c>
      <c r="C142" t="s">
        <v>846</v>
      </c>
      <c r="G142" t="s">
        <v>847</v>
      </c>
      <c r="I142" t="s">
        <v>734</v>
      </c>
      <c r="J142" t="s">
        <v>578</v>
      </c>
      <c r="K142">
        <v>0</v>
      </c>
      <c r="N142" t="b">
        <v>1</v>
      </c>
      <c r="O142" t="b">
        <v>1</v>
      </c>
      <c r="P142" t="b">
        <v>0</v>
      </c>
      <c r="Q142">
        <v>17</v>
      </c>
      <c r="R142">
        <v>0</v>
      </c>
      <c r="S142">
        <v>1</v>
      </c>
      <c r="T142">
        <v>0</v>
      </c>
      <c r="U142" t="b">
        <v>1</v>
      </c>
      <c r="V142" t="s">
        <v>412</v>
      </c>
      <c r="W142" t="s">
        <v>413</v>
      </c>
      <c r="X142" t="s">
        <v>1048</v>
      </c>
      <c r="Y142">
        <v>9</v>
      </c>
      <c r="Z142">
        <v>9</v>
      </c>
      <c r="AA142">
        <v>3</v>
      </c>
      <c r="AB142">
        <v>3</v>
      </c>
      <c r="AC142">
        <v>12</v>
      </c>
    </row>
    <row r="143" spans="1:29">
      <c r="A143">
        <v>142</v>
      </c>
      <c r="B143" t="s">
        <v>635</v>
      </c>
      <c r="C143" t="s">
        <v>848</v>
      </c>
      <c r="G143" t="s">
        <v>741</v>
      </c>
      <c r="I143" t="s">
        <v>742</v>
      </c>
      <c r="J143" t="s">
        <v>580</v>
      </c>
      <c r="K143">
        <v>0</v>
      </c>
      <c r="N143" t="b">
        <v>1</v>
      </c>
      <c r="O143" t="b">
        <v>1</v>
      </c>
      <c r="P143" t="b">
        <v>0</v>
      </c>
      <c r="Q143">
        <v>17</v>
      </c>
      <c r="R143">
        <v>0</v>
      </c>
      <c r="S143">
        <v>1</v>
      </c>
      <c r="T143">
        <v>0</v>
      </c>
      <c r="U143" t="b">
        <v>1</v>
      </c>
      <c r="V143" t="s">
        <v>412</v>
      </c>
      <c r="W143" t="s">
        <v>413</v>
      </c>
      <c r="X143" t="s">
        <v>1049</v>
      </c>
      <c r="Y143">
        <v>16</v>
      </c>
      <c r="Z143">
        <v>16</v>
      </c>
      <c r="AA143">
        <v>3</v>
      </c>
      <c r="AB143">
        <v>3</v>
      </c>
      <c r="AC143">
        <v>12</v>
      </c>
    </row>
    <row r="144" spans="1:29">
      <c r="A144">
        <v>143</v>
      </c>
      <c r="B144" t="s">
        <v>635</v>
      </c>
      <c r="C144" t="s">
        <v>849</v>
      </c>
      <c r="G144" t="s">
        <v>850</v>
      </c>
      <c r="I144" t="s">
        <v>742</v>
      </c>
      <c r="J144" t="s">
        <v>580</v>
      </c>
      <c r="K144">
        <v>0</v>
      </c>
      <c r="N144" t="b">
        <v>1</v>
      </c>
      <c r="O144" t="b">
        <v>1</v>
      </c>
      <c r="P144" t="b">
        <v>0</v>
      </c>
      <c r="Q144">
        <v>17</v>
      </c>
      <c r="R144">
        <v>0</v>
      </c>
      <c r="S144">
        <v>1</v>
      </c>
      <c r="T144">
        <v>0</v>
      </c>
      <c r="U144" t="b">
        <v>1</v>
      </c>
      <c r="V144" t="s">
        <v>412</v>
      </c>
      <c r="W144" t="s">
        <v>413</v>
      </c>
      <c r="X144" t="s">
        <v>1050</v>
      </c>
      <c r="Y144">
        <v>17</v>
      </c>
      <c r="Z144">
        <v>17</v>
      </c>
      <c r="AA144">
        <v>3</v>
      </c>
      <c r="AB144">
        <v>3</v>
      </c>
      <c r="AC144">
        <v>12</v>
      </c>
    </row>
    <row r="145" spans="1:29">
      <c r="A145">
        <v>144</v>
      </c>
      <c r="B145" t="s">
        <v>635</v>
      </c>
      <c r="C145" t="s">
        <v>851</v>
      </c>
      <c r="G145" t="s">
        <v>852</v>
      </c>
      <c r="I145" t="s">
        <v>742</v>
      </c>
      <c r="J145" t="s">
        <v>580</v>
      </c>
      <c r="K145">
        <v>0</v>
      </c>
      <c r="N145" t="b">
        <v>1</v>
      </c>
      <c r="O145" t="b">
        <v>1</v>
      </c>
      <c r="P145" t="b">
        <v>0</v>
      </c>
      <c r="Q145">
        <v>17</v>
      </c>
      <c r="R145">
        <v>0</v>
      </c>
      <c r="S145">
        <v>1</v>
      </c>
      <c r="T145">
        <v>0</v>
      </c>
      <c r="U145" t="b">
        <v>1</v>
      </c>
      <c r="V145" t="s">
        <v>412</v>
      </c>
      <c r="W145" t="s">
        <v>413</v>
      </c>
      <c r="X145" t="s">
        <v>1051</v>
      </c>
      <c r="Y145">
        <v>18</v>
      </c>
      <c r="Z145">
        <v>18</v>
      </c>
      <c r="AA145">
        <v>3</v>
      </c>
      <c r="AB145">
        <v>3</v>
      </c>
      <c r="AC145">
        <v>12</v>
      </c>
    </row>
    <row r="146" spans="1:29">
      <c r="A146">
        <v>145</v>
      </c>
      <c r="B146" t="s">
        <v>635</v>
      </c>
      <c r="C146" t="s">
        <v>853</v>
      </c>
      <c r="G146" t="s">
        <v>741</v>
      </c>
      <c r="I146" t="s">
        <v>747</v>
      </c>
      <c r="J146" t="s">
        <v>580</v>
      </c>
      <c r="K146">
        <v>0</v>
      </c>
      <c r="N146" t="b">
        <v>1</v>
      </c>
      <c r="O146" t="b">
        <v>1</v>
      </c>
      <c r="P146" t="b">
        <v>0</v>
      </c>
      <c r="Q146">
        <v>17</v>
      </c>
      <c r="R146">
        <v>0</v>
      </c>
      <c r="S146">
        <v>1</v>
      </c>
      <c r="T146">
        <v>0</v>
      </c>
      <c r="U146" t="b">
        <v>1</v>
      </c>
      <c r="V146" t="s">
        <v>412</v>
      </c>
      <c r="W146" t="s">
        <v>413</v>
      </c>
      <c r="X146" t="s">
        <v>1052</v>
      </c>
      <c r="Y146">
        <v>16</v>
      </c>
      <c r="Z146">
        <v>16</v>
      </c>
      <c r="AA146">
        <v>5</v>
      </c>
      <c r="AB146">
        <v>5</v>
      </c>
      <c r="AC146">
        <v>12</v>
      </c>
    </row>
    <row r="147" spans="1:29">
      <c r="A147">
        <v>146</v>
      </c>
      <c r="B147" t="s">
        <v>635</v>
      </c>
      <c r="C147" t="s">
        <v>854</v>
      </c>
      <c r="G147" t="s">
        <v>850</v>
      </c>
      <c r="I147" t="s">
        <v>747</v>
      </c>
      <c r="J147" t="s">
        <v>580</v>
      </c>
      <c r="K147">
        <v>0</v>
      </c>
      <c r="N147" t="b">
        <v>1</v>
      </c>
      <c r="O147" t="b">
        <v>1</v>
      </c>
      <c r="P147" t="b">
        <v>0</v>
      </c>
      <c r="Q147">
        <v>17</v>
      </c>
      <c r="R147">
        <v>0</v>
      </c>
      <c r="S147">
        <v>1</v>
      </c>
      <c r="T147">
        <v>0</v>
      </c>
      <c r="U147" t="b">
        <v>1</v>
      </c>
      <c r="V147" t="s">
        <v>412</v>
      </c>
      <c r="W147" t="s">
        <v>413</v>
      </c>
      <c r="X147" t="s">
        <v>1053</v>
      </c>
      <c r="Y147">
        <v>17</v>
      </c>
      <c r="Z147">
        <v>17</v>
      </c>
      <c r="AA147">
        <v>5</v>
      </c>
      <c r="AB147">
        <v>5</v>
      </c>
      <c r="AC147">
        <v>12</v>
      </c>
    </row>
    <row r="148" spans="1:29">
      <c r="A148">
        <v>147</v>
      </c>
      <c r="B148" t="s">
        <v>635</v>
      </c>
      <c r="C148" t="s">
        <v>855</v>
      </c>
      <c r="G148" t="s">
        <v>852</v>
      </c>
      <c r="I148" t="s">
        <v>747</v>
      </c>
      <c r="J148" t="s">
        <v>580</v>
      </c>
      <c r="K148">
        <v>0</v>
      </c>
      <c r="N148" t="b">
        <v>1</v>
      </c>
      <c r="O148" t="b">
        <v>1</v>
      </c>
      <c r="P148" t="b">
        <v>0</v>
      </c>
      <c r="Q148">
        <v>17</v>
      </c>
      <c r="R148">
        <v>0</v>
      </c>
      <c r="S148">
        <v>1</v>
      </c>
      <c r="T148">
        <v>0</v>
      </c>
      <c r="U148" t="b">
        <v>1</v>
      </c>
      <c r="V148" t="s">
        <v>412</v>
      </c>
      <c r="W148" t="s">
        <v>413</v>
      </c>
      <c r="X148" t="s">
        <v>1054</v>
      </c>
      <c r="Y148">
        <v>18</v>
      </c>
      <c r="Z148">
        <v>18</v>
      </c>
      <c r="AA148">
        <v>5</v>
      </c>
      <c r="AB148">
        <v>5</v>
      </c>
      <c r="AC148">
        <v>12</v>
      </c>
    </row>
    <row r="149" spans="1:29">
      <c r="A149">
        <v>148</v>
      </c>
      <c r="B149" t="s">
        <v>635</v>
      </c>
      <c r="C149" t="s">
        <v>856</v>
      </c>
      <c r="G149" t="s">
        <v>775</v>
      </c>
      <c r="I149" t="s">
        <v>15</v>
      </c>
      <c r="J149" t="s">
        <v>578</v>
      </c>
      <c r="K149">
        <v>0</v>
      </c>
      <c r="N149" t="b">
        <v>1</v>
      </c>
      <c r="O149" t="b">
        <v>1</v>
      </c>
      <c r="P149" t="b">
        <v>0</v>
      </c>
      <c r="Q149">
        <v>17</v>
      </c>
      <c r="R149">
        <v>0</v>
      </c>
      <c r="S149">
        <v>1</v>
      </c>
      <c r="T149">
        <v>0</v>
      </c>
      <c r="U149" t="b">
        <v>1</v>
      </c>
      <c r="V149" t="s">
        <v>412</v>
      </c>
      <c r="W149" t="s">
        <v>413</v>
      </c>
      <c r="X149" t="s">
        <v>1055</v>
      </c>
      <c r="Y149">
        <v>23</v>
      </c>
      <c r="Z149">
        <v>23</v>
      </c>
      <c r="AA149">
        <v>5</v>
      </c>
      <c r="AB149">
        <v>5</v>
      </c>
      <c r="AC149">
        <v>12</v>
      </c>
    </row>
    <row r="150" spans="1:29">
      <c r="A150">
        <v>149</v>
      </c>
      <c r="B150" t="s">
        <v>635</v>
      </c>
      <c r="C150" t="s">
        <v>857</v>
      </c>
      <c r="G150" t="s">
        <v>776</v>
      </c>
      <c r="I150" t="s">
        <v>15</v>
      </c>
      <c r="J150" t="s">
        <v>578</v>
      </c>
      <c r="K150">
        <v>0</v>
      </c>
      <c r="N150" t="b">
        <v>1</v>
      </c>
      <c r="O150" t="b">
        <v>1</v>
      </c>
      <c r="P150" t="b">
        <v>0</v>
      </c>
      <c r="Q150">
        <v>17</v>
      </c>
      <c r="R150">
        <v>0</v>
      </c>
      <c r="S150">
        <v>1</v>
      </c>
      <c r="T150">
        <v>0</v>
      </c>
      <c r="U150" t="b">
        <v>1</v>
      </c>
      <c r="V150" t="s">
        <v>412</v>
      </c>
      <c r="W150" t="s">
        <v>413</v>
      </c>
      <c r="X150" t="s">
        <v>1056</v>
      </c>
      <c r="Y150">
        <v>24</v>
      </c>
      <c r="Z150">
        <v>24</v>
      </c>
      <c r="AA150">
        <v>5</v>
      </c>
      <c r="AB150">
        <v>5</v>
      </c>
      <c r="AC150">
        <v>12</v>
      </c>
    </row>
    <row r="151" spans="1:29">
      <c r="A151">
        <v>150</v>
      </c>
      <c r="B151" t="s">
        <v>635</v>
      </c>
      <c r="C151" t="s">
        <v>858</v>
      </c>
      <c r="G151" t="s">
        <v>777</v>
      </c>
      <c r="I151" t="s">
        <v>15</v>
      </c>
      <c r="J151" t="s">
        <v>578</v>
      </c>
      <c r="K151">
        <v>0</v>
      </c>
      <c r="N151" t="b">
        <v>1</v>
      </c>
      <c r="O151" t="b">
        <v>1</v>
      </c>
      <c r="P151" t="b">
        <v>0</v>
      </c>
      <c r="Q151">
        <v>17</v>
      </c>
      <c r="R151">
        <v>0</v>
      </c>
      <c r="S151">
        <v>1</v>
      </c>
      <c r="T151">
        <v>0</v>
      </c>
      <c r="U151" t="b">
        <v>1</v>
      </c>
      <c r="V151" t="s">
        <v>412</v>
      </c>
      <c r="W151" t="s">
        <v>413</v>
      </c>
      <c r="X151" t="s">
        <v>1057</v>
      </c>
      <c r="Y151">
        <v>25</v>
      </c>
      <c r="Z151">
        <v>25</v>
      </c>
      <c r="AA151">
        <v>5</v>
      </c>
      <c r="AB151">
        <v>5</v>
      </c>
      <c r="AC151">
        <v>12</v>
      </c>
    </row>
    <row r="152" spans="1:29">
      <c r="A152">
        <v>151</v>
      </c>
      <c r="B152" t="s">
        <v>635</v>
      </c>
      <c r="C152" t="s">
        <v>859</v>
      </c>
      <c r="G152" t="s">
        <v>778</v>
      </c>
      <c r="I152" t="s">
        <v>15</v>
      </c>
      <c r="J152" t="s">
        <v>578</v>
      </c>
      <c r="K152">
        <v>0</v>
      </c>
      <c r="N152" t="b">
        <v>1</v>
      </c>
      <c r="O152" t="b">
        <v>1</v>
      </c>
      <c r="P152" t="b">
        <v>0</v>
      </c>
      <c r="Q152">
        <v>17</v>
      </c>
      <c r="R152">
        <v>0</v>
      </c>
      <c r="S152">
        <v>1</v>
      </c>
      <c r="T152">
        <v>0</v>
      </c>
      <c r="U152" t="b">
        <v>1</v>
      </c>
      <c r="V152" t="s">
        <v>412</v>
      </c>
      <c r="W152" t="s">
        <v>413</v>
      </c>
      <c r="X152" t="s">
        <v>1058</v>
      </c>
      <c r="Y152">
        <v>26</v>
      </c>
      <c r="Z152">
        <v>26</v>
      </c>
      <c r="AA152">
        <v>5</v>
      </c>
      <c r="AB152">
        <v>5</v>
      </c>
      <c r="AC152">
        <v>12</v>
      </c>
    </row>
    <row r="153" spans="1:29">
      <c r="A153">
        <v>152</v>
      </c>
      <c r="B153" t="s">
        <v>635</v>
      </c>
      <c r="C153" t="s">
        <v>860</v>
      </c>
      <c r="G153" t="s">
        <v>779</v>
      </c>
      <c r="I153" t="s">
        <v>15</v>
      </c>
      <c r="J153" t="s">
        <v>578</v>
      </c>
      <c r="K153">
        <v>0</v>
      </c>
      <c r="N153" t="b">
        <v>1</v>
      </c>
      <c r="O153" t="b">
        <v>1</v>
      </c>
      <c r="P153" t="b">
        <v>0</v>
      </c>
      <c r="Q153">
        <v>17</v>
      </c>
      <c r="R153">
        <v>0</v>
      </c>
      <c r="S153">
        <v>1</v>
      </c>
      <c r="T153">
        <v>0</v>
      </c>
      <c r="U153" t="b">
        <v>1</v>
      </c>
      <c r="V153" t="s">
        <v>412</v>
      </c>
      <c r="W153" t="s">
        <v>413</v>
      </c>
      <c r="X153" t="s">
        <v>1059</v>
      </c>
      <c r="Y153">
        <v>27</v>
      </c>
      <c r="Z153">
        <v>27</v>
      </c>
      <c r="AA153">
        <v>5</v>
      </c>
      <c r="AB153">
        <v>5</v>
      </c>
      <c r="AC153">
        <v>12</v>
      </c>
    </row>
    <row r="154" spans="1:29">
      <c r="A154">
        <v>153</v>
      </c>
      <c r="B154" t="s">
        <v>635</v>
      </c>
      <c r="C154" t="s">
        <v>861</v>
      </c>
      <c r="G154" t="s">
        <v>780</v>
      </c>
      <c r="I154" t="s">
        <v>15</v>
      </c>
      <c r="J154" t="s">
        <v>578</v>
      </c>
      <c r="K154">
        <v>0</v>
      </c>
      <c r="N154" t="b">
        <v>1</v>
      </c>
      <c r="O154" t="b">
        <v>1</v>
      </c>
      <c r="P154" t="b">
        <v>0</v>
      </c>
      <c r="Q154">
        <v>17</v>
      </c>
      <c r="R154">
        <v>0</v>
      </c>
      <c r="S154">
        <v>1</v>
      </c>
      <c r="T154">
        <v>0</v>
      </c>
      <c r="U154" t="b">
        <v>1</v>
      </c>
      <c r="V154" t="s">
        <v>412</v>
      </c>
      <c r="W154" t="s">
        <v>413</v>
      </c>
      <c r="X154" t="s">
        <v>1060</v>
      </c>
      <c r="Y154">
        <v>28</v>
      </c>
      <c r="Z154">
        <v>28</v>
      </c>
      <c r="AA154">
        <v>5</v>
      </c>
      <c r="AB154">
        <v>5</v>
      </c>
      <c r="AC154">
        <v>12</v>
      </c>
    </row>
    <row r="155" spans="1:29">
      <c r="A155">
        <v>154</v>
      </c>
      <c r="B155" t="s">
        <v>635</v>
      </c>
      <c r="C155" t="s">
        <v>862</v>
      </c>
      <c r="G155" t="s">
        <v>782</v>
      </c>
      <c r="I155" t="s">
        <v>1139</v>
      </c>
      <c r="J155" t="s">
        <v>618</v>
      </c>
      <c r="K155">
        <v>0</v>
      </c>
      <c r="N155" t="b">
        <v>1</v>
      </c>
      <c r="O155" t="b">
        <v>1</v>
      </c>
      <c r="P155" t="b">
        <v>0</v>
      </c>
      <c r="Q155">
        <v>17</v>
      </c>
      <c r="R155">
        <v>0</v>
      </c>
      <c r="S155">
        <v>1</v>
      </c>
      <c r="T155">
        <v>0</v>
      </c>
      <c r="U155" t="b">
        <v>1</v>
      </c>
      <c r="V155" t="s">
        <v>412</v>
      </c>
      <c r="W155" t="s">
        <v>413</v>
      </c>
      <c r="X155" t="s">
        <v>1061</v>
      </c>
      <c r="Y155">
        <v>35</v>
      </c>
      <c r="Z155">
        <v>35</v>
      </c>
      <c r="AA155">
        <v>9</v>
      </c>
      <c r="AB155">
        <v>9</v>
      </c>
      <c r="AC155">
        <v>12</v>
      </c>
    </row>
    <row r="156" spans="1:29">
      <c r="A156">
        <v>155</v>
      </c>
      <c r="B156" t="s">
        <v>635</v>
      </c>
      <c r="C156" t="s">
        <v>863</v>
      </c>
      <c r="G156" t="s">
        <v>783</v>
      </c>
      <c r="I156" t="s">
        <v>1139</v>
      </c>
      <c r="J156" t="s">
        <v>618</v>
      </c>
      <c r="K156">
        <v>0</v>
      </c>
      <c r="N156" t="b">
        <v>1</v>
      </c>
      <c r="O156" t="b">
        <v>1</v>
      </c>
      <c r="P156" t="b">
        <v>0</v>
      </c>
      <c r="Q156">
        <v>17</v>
      </c>
      <c r="R156">
        <v>0</v>
      </c>
      <c r="S156">
        <v>1</v>
      </c>
      <c r="T156">
        <v>0</v>
      </c>
      <c r="U156" t="b">
        <v>1</v>
      </c>
      <c r="V156" t="s">
        <v>412</v>
      </c>
      <c r="W156" t="s">
        <v>413</v>
      </c>
      <c r="X156" t="s">
        <v>1062</v>
      </c>
      <c r="Y156">
        <v>39</v>
      </c>
      <c r="Z156">
        <v>39</v>
      </c>
      <c r="AA156">
        <v>9</v>
      </c>
      <c r="AB156">
        <v>9</v>
      </c>
      <c r="AC156">
        <v>12</v>
      </c>
    </row>
    <row r="157" spans="1:29">
      <c r="A157">
        <v>156</v>
      </c>
      <c r="B157" t="s">
        <v>635</v>
      </c>
      <c r="C157" t="s">
        <v>864</v>
      </c>
      <c r="G157" t="s">
        <v>784</v>
      </c>
      <c r="I157" t="s">
        <v>1139</v>
      </c>
      <c r="J157" t="s">
        <v>618</v>
      </c>
      <c r="K157">
        <v>0</v>
      </c>
      <c r="N157" t="b">
        <v>1</v>
      </c>
      <c r="O157" t="b">
        <v>1</v>
      </c>
      <c r="P157" t="b">
        <v>0</v>
      </c>
      <c r="Q157">
        <v>17</v>
      </c>
      <c r="R157">
        <v>0</v>
      </c>
      <c r="S157">
        <v>1</v>
      </c>
      <c r="T157">
        <v>0</v>
      </c>
      <c r="U157" t="b">
        <v>1</v>
      </c>
      <c r="V157" t="s">
        <v>412</v>
      </c>
      <c r="W157" t="s">
        <v>413</v>
      </c>
      <c r="X157" t="s">
        <v>1063</v>
      </c>
      <c r="Y157">
        <v>41</v>
      </c>
      <c r="Z157">
        <v>41</v>
      </c>
      <c r="AA157">
        <v>9</v>
      </c>
      <c r="AB157">
        <v>9</v>
      </c>
      <c r="AC157">
        <v>12</v>
      </c>
    </row>
    <row r="158" spans="1:29">
      <c r="A158">
        <v>157</v>
      </c>
      <c r="B158" t="s">
        <v>635</v>
      </c>
      <c r="C158" t="s">
        <v>865</v>
      </c>
      <c r="G158" t="s">
        <v>785</v>
      </c>
      <c r="I158" t="s">
        <v>1139</v>
      </c>
      <c r="J158" t="s">
        <v>618</v>
      </c>
      <c r="K158">
        <v>0</v>
      </c>
      <c r="N158" t="b">
        <v>1</v>
      </c>
      <c r="O158" t="b">
        <v>1</v>
      </c>
      <c r="P158" t="b">
        <v>0</v>
      </c>
      <c r="Q158">
        <v>17</v>
      </c>
      <c r="R158">
        <v>0</v>
      </c>
      <c r="S158">
        <v>1</v>
      </c>
      <c r="T158">
        <v>0</v>
      </c>
      <c r="U158" t="b">
        <v>1</v>
      </c>
      <c r="V158" t="s">
        <v>412</v>
      </c>
      <c r="W158" t="s">
        <v>413</v>
      </c>
      <c r="X158" t="s">
        <v>1064</v>
      </c>
      <c r="Y158">
        <v>45</v>
      </c>
      <c r="Z158">
        <v>45</v>
      </c>
      <c r="AA158">
        <v>9</v>
      </c>
      <c r="AB158">
        <v>9</v>
      </c>
      <c r="AC158">
        <v>12</v>
      </c>
    </row>
    <row r="159" spans="1:29">
      <c r="A159">
        <v>158</v>
      </c>
      <c r="B159" t="s">
        <v>635</v>
      </c>
      <c r="C159" t="s">
        <v>866</v>
      </c>
      <c r="D159" t="s">
        <v>825</v>
      </c>
      <c r="E159" t="s">
        <v>826</v>
      </c>
      <c r="G159" t="s">
        <v>786</v>
      </c>
      <c r="I159" t="s">
        <v>1139</v>
      </c>
      <c r="J159" t="s">
        <v>578</v>
      </c>
      <c r="K159">
        <v>0</v>
      </c>
      <c r="N159" t="b">
        <v>1</v>
      </c>
      <c r="O159" t="b">
        <v>1</v>
      </c>
      <c r="P159" t="b">
        <v>0</v>
      </c>
      <c r="Q159">
        <v>17</v>
      </c>
      <c r="R159">
        <v>0</v>
      </c>
      <c r="S159">
        <v>1</v>
      </c>
      <c r="T159">
        <v>0</v>
      </c>
      <c r="U159" t="b">
        <v>1</v>
      </c>
      <c r="V159" t="s">
        <v>412</v>
      </c>
      <c r="W159" t="s">
        <v>413</v>
      </c>
      <c r="X159" t="s">
        <v>1233</v>
      </c>
      <c r="Y159">
        <v>47</v>
      </c>
      <c r="Z159">
        <v>47</v>
      </c>
      <c r="AA159">
        <v>9</v>
      </c>
      <c r="AB159">
        <v>9</v>
      </c>
      <c r="AC159">
        <v>12</v>
      </c>
    </row>
    <row r="160" spans="1:29">
      <c r="A160">
        <v>159</v>
      </c>
      <c r="B160" t="s">
        <v>635</v>
      </c>
      <c r="C160" t="s">
        <v>867</v>
      </c>
      <c r="G160" t="s">
        <v>787</v>
      </c>
      <c r="I160" t="s">
        <v>1139</v>
      </c>
      <c r="J160" t="s">
        <v>618</v>
      </c>
      <c r="K160">
        <v>0</v>
      </c>
      <c r="N160" t="b">
        <v>1</v>
      </c>
      <c r="O160" t="b">
        <v>1</v>
      </c>
      <c r="P160" t="b">
        <v>0</v>
      </c>
      <c r="Q160">
        <v>17</v>
      </c>
      <c r="R160">
        <v>0</v>
      </c>
      <c r="S160">
        <v>1</v>
      </c>
      <c r="T160">
        <v>0</v>
      </c>
      <c r="U160" t="b">
        <v>1</v>
      </c>
      <c r="V160" t="s">
        <v>412</v>
      </c>
      <c r="W160" t="s">
        <v>413</v>
      </c>
      <c r="X160" t="s">
        <v>1065</v>
      </c>
      <c r="Y160">
        <v>51</v>
      </c>
      <c r="Z160">
        <v>51</v>
      </c>
      <c r="AA160">
        <v>9</v>
      </c>
      <c r="AB160">
        <v>9</v>
      </c>
      <c r="AC160">
        <v>12</v>
      </c>
    </row>
    <row r="161" spans="1:29">
      <c r="A161">
        <v>160</v>
      </c>
      <c r="B161" t="s">
        <v>635</v>
      </c>
      <c r="C161" t="s">
        <v>868</v>
      </c>
      <c r="G161" t="s">
        <v>734</v>
      </c>
      <c r="J161" t="s">
        <v>578</v>
      </c>
      <c r="K161">
        <v>0</v>
      </c>
      <c r="N161" t="b">
        <v>1</v>
      </c>
      <c r="O161" t="b">
        <v>1</v>
      </c>
      <c r="P161" t="b">
        <v>0</v>
      </c>
      <c r="Q161">
        <v>17</v>
      </c>
      <c r="R161">
        <v>0</v>
      </c>
      <c r="S161">
        <v>1</v>
      </c>
      <c r="T161">
        <v>2</v>
      </c>
      <c r="U161" t="b">
        <v>1</v>
      </c>
      <c r="V161" t="s">
        <v>412</v>
      </c>
      <c r="W161" t="s">
        <v>413</v>
      </c>
      <c r="X161" t="s">
        <v>1066</v>
      </c>
      <c r="Y161">
        <v>58</v>
      </c>
      <c r="Z161">
        <v>58</v>
      </c>
      <c r="AA161">
        <v>2</v>
      </c>
      <c r="AB161">
        <v>2</v>
      </c>
      <c r="AC161">
        <v>12</v>
      </c>
    </row>
    <row r="162" spans="1:29">
      <c r="A162">
        <v>161</v>
      </c>
      <c r="B162" t="s">
        <v>635</v>
      </c>
      <c r="C162" t="s">
        <v>869</v>
      </c>
      <c r="G162" t="s">
        <v>734</v>
      </c>
      <c r="J162" t="s">
        <v>578</v>
      </c>
      <c r="K162">
        <v>0</v>
      </c>
      <c r="N162" t="b">
        <v>1</v>
      </c>
      <c r="O162" t="b">
        <v>1</v>
      </c>
      <c r="P162" t="b">
        <v>0</v>
      </c>
      <c r="Q162">
        <v>17</v>
      </c>
      <c r="R162">
        <v>0</v>
      </c>
      <c r="S162">
        <v>1</v>
      </c>
      <c r="T162">
        <v>2</v>
      </c>
      <c r="U162" t="b">
        <v>1</v>
      </c>
      <c r="V162" t="s">
        <v>412</v>
      </c>
      <c r="W162" t="s">
        <v>413</v>
      </c>
      <c r="X162" t="s">
        <v>1067</v>
      </c>
      <c r="Y162">
        <v>59</v>
      </c>
      <c r="Z162">
        <v>59</v>
      </c>
      <c r="AA162">
        <v>2</v>
      </c>
      <c r="AB162">
        <v>2</v>
      </c>
      <c r="AC162">
        <v>12</v>
      </c>
    </row>
    <row r="163" spans="1:29">
      <c r="A163">
        <v>162</v>
      </c>
      <c r="B163" t="s">
        <v>635</v>
      </c>
      <c r="C163" t="s">
        <v>870</v>
      </c>
      <c r="G163" t="s">
        <v>734</v>
      </c>
      <c r="J163" t="s">
        <v>578</v>
      </c>
      <c r="K163">
        <v>0</v>
      </c>
      <c r="N163" t="b">
        <v>1</v>
      </c>
      <c r="O163" t="b">
        <v>1</v>
      </c>
      <c r="P163" t="b">
        <v>0</v>
      </c>
      <c r="Q163">
        <v>17</v>
      </c>
      <c r="R163">
        <v>0</v>
      </c>
      <c r="S163">
        <v>1</v>
      </c>
      <c r="T163">
        <v>12</v>
      </c>
      <c r="U163" t="b">
        <v>1</v>
      </c>
      <c r="V163" t="s">
        <v>412</v>
      </c>
      <c r="W163" t="s">
        <v>413</v>
      </c>
      <c r="X163" t="s">
        <v>1068</v>
      </c>
      <c r="Y163">
        <v>68</v>
      </c>
      <c r="Z163">
        <v>68</v>
      </c>
      <c r="AA163">
        <v>2</v>
      </c>
      <c r="AB163">
        <v>2</v>
      </c>
      <c r="AC163">
        <v>12</v>
      </c>
    </row>
    <row r="164" spans="1:29">
      <c r="A164">
        <v>163</v>
      </c>
      <c r="B164" t="s">
        <v>635</v>
      </c>
      <c r="C164" t="s">
        <v>871</v>
      </c>
      <c r="G164" t="s">
        <v>734</v>
      </c>
      <c r="J164" t="s">
        <v>578</v>
      </c>
      <c r="K164">
        <v>0</v>
      </c>
      <c r="N164" t="b">
        <v>1</v>
      </c>
      <c r="O164" t="b">
        <v>1</v>
      </c>
      <c r="P164" t="b">
        <v>0</v>
      </c>
      <c r="Q164">
        <v>17</v>
      </c>
      <c r="R164">
        <v>0</v>
      </c>
      <c r="S164">
        <v>1</v>
      </c>
      <c r="T164">
        <v>12</v>
      </c>
      <c r="U164" t="b">
        <v>1</v>
      </c>
      <c r="V164" t="s">
        <v>412</v>
      </c>
      <c r="W164" t="s">
        <v>413</v>
      </c>
      <c r="X164" t="s">
        <v>1069</v>
      </c>
      <c r="Y164">
        <v>69</v>
      </c>
      <c r="Z164">
        <v>69</v>
      </c>
      <c r="AA164">
        <v>2</v>
      </c>
      <c r="AB164">
        <v>2</v>
      </c>
      <c r="AC164">
        <v>12</v>
      </c>
    </row>
    <row r="165" spans="1:29">
      <c r="A165">
        <v>164</v>
      </c>
      <c r="B165" t="s">
        <v>635</v>
      </c>
      <c r="C165" t="s">
        <v>872</v>
      </c>
      <c r="G165" t="s">
        <v>873</v>
      </c>
      <c r="I165" t="s">
        <v>734</v>
      </c>
      <c r="J165" t="s">
        <v>618</v>
      </c>
      <c r="K165">
        <v>0</v>
      </c>
      <c r="N165" t="b">
        <v>1</v>
      </c>
      <c r="O165" t="b">
        <v>1</v>
      </c>
      <c r="P165" t="b">
        <v>0</v>
      </c>
      <c r="Q165">
        <v>17</v>
      </c>
      <c r="R165">
        <v>0</v>
      </c>
      <c r="S165">
        <v>1</v>
      </c>
      <c r="T165">
        <v>0</v>
      </c>
      <c r="U165" t="b">
        <v>1</v>
      </c>
      <c r="V165" t="s">
        <v>412</v>
      </c>
      <c r="W165" t="s">
        <v>413</v>
      </c>
      <c r="X165" t="s">
        <v>1072</v>
      </c>
      <c r="Y165">
        <v>61</v>
      </c>
      <c r="Z165">
        <v>61</v>
      </c>
      <c r="AA165">
        <v>9</v>
      </c>
      <c r="AB165">
        <v>9</v>
      </c>
      <c r="AC165">
        <v>12</v>
      </c>
    </row>
    <row r="166" spans="1:29">
      <c r="A166">
        <v>165</v>
      </c>
      <c r="B166" t="s">
        <v>635</v>
      </c>
      <c r="C166" t="s">
        <v>874</v>
      </c>
      <c r="G166" t="s">
        <v>875</v>
      </c>
      <c r="I166" t="s">
        <v>734</v>
      </c>
      <c r="J166" t="s">
        <v>618</v>
      </c>
      <c r="K166">
        <v>0</v>
      </c>
      <c r="N166" t="b">
        <v>1</v>
      </c>
      <c r="O166" t="b">
        <v>1</v>
      </c>
      <c r="P166" t="b">
        <v>0</v>
      </c>
      <c r="Q166">
        <v>17</v>
      </c>
      <c r="R166">
        <v>0</v>
      </c>
      <c r="S166">
        <v>1</v>
      </c>
      <c r="T166">
        <v>0</v>
      </c>
      <c r="U166" t="b">
        <v>1</v>
      </c>
      <c r="V166" t="s">
        <v>412</v>
      </c>
      <c r="W166" t="s">
        <v>413</v>
      </c>
      <c r="X166" t="s">
        <v>1073</v>
      </c>
      <c r="Y166">
        <v>63</v>
      </c>
      <c r="Z166">
        <v>63</v>
      </c>
      <c r="AA166">
        <v>9</v>
      </c>
      <c r="AB166">
        <v>9</v>
      </c>
      <c r="AC166">
        <v>12</v>
      </c>
    </row>
    <row r="167" spans="1:29">
      <c r="A167">
        <v>166</v>
      </c>
      <c r="B167" t="s">
        <v>635</v>
      </c>
      <c r="C167" t="s">
        <v>876</v>
      </c>
      <c r="G167" t="s">
        <v>734</v>
      </c>
      <c r="J167" t="s">
        <v>578</v>
      </c>
      <c r="K167">
        <v>0</v>
      </c>
      <c r="N167" t="b">
        <v>1</v>
      </c>
      <c r="O167" t="b">
        <v>1</v>
      </c>
      <c r="P167" t="b">
        <v>0</v>
      </c>
      <c r="Q167">
        <v>17</v>
      </c>
      <c r="R167">
        <v>0</v>
      </c>
      <c r="S167">
        <v>1</v>
      </c>
      <c r="T167">
        <v>12</v>
      </c>
      <c r="U167" t="b">
        <v>1</v>
      </c>
      <c r="V167" t="s">
        <v>412</v>
      </c>
      <c r="W167" t="s">
        <v>413</v>
      </c>
      <c r="X167" t="s">
        <v>1070</v>
      </c>
      <c r="Y167">
        <v>68</v>
      </c>
      <c r="Z167">
        <v>68</v>
      </c>
      <c r="AA167">
        <v>7</v>
      </c>
      <c r="AB167">
        <v>7</v>
      </c>
      <c r="AC167">
        <v>12</v>
      </c>
    </row>
    <row r="168" spans="1:29">
      <c r="A168">
        <v>167</v>
      </c>
      <c r="B168" t="s">
        <v>635</v>
      </c>
      <c r="C168" t="s">
        <v>877</v>
      </c>
      <c r="G168" t="s">
        <v>734</v>
      </c>
      <c r="J168" t="s">
        <v>578</v>
      </c>
      <c r="K168">
        <v>0</v>
      </c>
      <c r="N168" t="b">
        <v>1</v>
      </c>
      <c r="O168" t="b">
        <v>1</v>
      </c>
      <c r="P168" t="b">
        <v>0</v>
      </c>
      <c r="Q168">
        <v>17</v>
      </c>
      <c r="R168">
        <v>0</v>
      </c>
      <c r="S168">
        <v>1</v>
      </c>
      <c r="T168">
        <v>12</v>
      </c>
      <c r="U168" t="b">
        <v>1</v>
      </c>
      <c r="V168" t="s">
        <v>412</v>
      </c>
      <c r="W168" t="s">
        <v>413</v>
      </c>
      <c r="X168" t="s">
        <v>1071</v>
      </c>
      <c r="Y168">
        <v>69</v>
      </c>
      <c r="Z168">
        <v>69</v>
      </c>
      <c r="AA168">
        <v>7</v>
      </c>
      <c r="AB168">
        <v>7</v>
      </c>
      <c r="AC168">
        <v>12</v>
      </c>
    </row>
    <row r="169" spans="1:29">
      <c r="A169">
        <v>168</v>
      </c>
      <c r="B169" t="s">
        <v>635</v>
      </c>
      <c r="C169" t="s">
        <v>878</v>
      </c>
      <c r="G169" t="s">
        <v>734</v>
      </c>
      <c r="J169" t="s">
        <v>578</v>
      </c>
      <c r="K169">
        <v>0</v>
      </c>
      <c r="N169" t="b">
        <v>1</v>
      </c>
      <c r="O169" t="b">
        <v>1</v>
      </c>
      <c r="P169" t="b">
        <v>0</v>
      </c>
      <c r="Q169">
        <v>17</v>
      </c>
      <c r="R169">
        <v>0</v>
      </c>
      <c r="S169">
        <v>1</v>
      </c>
      <c r="T169">
        <v>12</v>
      </c>
      <c r="U169" t="b">
        <v>1</v>
      </c>
      <c r="V169" t="s">
        <v>412</v>
      </c>
      <c r="W169" t="s">
        <v>413</v>
      </c>
      <c r="X169" t="s">
        <v>1074</v>
      </c>
      <c r="Y169">
        <v>68</v>
      </c>
      <c r="Z169">
        <v>68</v>
      </c>
      <c r="AA169">
        <v>9</v>
      </c>
      <c r="AB169">
        <v>9</v>
      </c>
      <c r="AC169">
        <v>12</v>
      </c>
    </row>
    <row r="170" spans="1:29">
      <c r="A170">
        <v>169</v>
      </c>
      <c r="B170" t="s">
        <v>635</v>
      </c>
      <c r="C170" t="s">
        <v>879</v>
      </c>
      <c r="G170" t="s">
        <v>734</v>
      </c>
      <c r="J170" t="s">
        <v>578</v>
      </c>
      <c r="K170">
        <v>0</v>
      </c>
      <c r="N170" t="b">
        <v>1</v>
      </c>
      <c r="O170" t="b">
        <v>1</v>
      </c>
      <c r="P170" t="b">
        <v>0</v>
      </c>
      <c r="Q170">
        <v>17</v>
      </c>
      <c r="R170">
        <v>0</v>
      </c>
      <c r="S170">
        <v>1</v>
      </c>
      <c r="T170">
        <v>12</v>
      </c>
      <c r="U170" t="b">
        <v>1</v>
      </c>
      <c r="V170" t="s">
        <v>412</v>
      </c>
      <c r="W170" t="s">
        <v>413</v>
      </c>
      <c r="X170" t="s">
        <v>1075</v>
      </c>
      <c r="Y170">
        <v>69</v>
      </c>
      <c r="Z170">
        <v>69</v>
      </c>
      <c r="AA170">
        <v>9</v>
      </c>
      <c r="AB170">
        <v>9</v>
      </c>
      <c r="AC170">
        <v>12</v>
      </c>
    </row>
    <row r="171" spans="1:29">
      <c r="A171">
        <v>170</v>
      </c>
      <c r="B171" t="s">
        <v>635</v>
      </c>
      <c r="C171" t="s">
        <v>880</v>
      </c>
      <c r="G171" t="s">
        <v>1191</v>
      </c>
      <c r="I171" t="s">
        <v>734</v>
      </c>
      <c r="J171" t="s">
        <v>586</v>
      </c>
      <c r="K171">
        <v>0</v>
      </c>
      <c r="N171" t="b">
        <v>1</v>
      </c>
      <c r="O171" t="b">
        <v>1</v>
      </c>
      <c r="P171" t="b">
        <v>0</v>
      </c>
      <c r="Q171">
        <v>17</v>
      </c>
      <c r="R171">
        <v>0</v>
      </c>
      <c r="S171">
        <v>1</v>
      </c>
      <c r="T171">
        <v>0</v>
      </c>
      <c r="U171" t="b">
        <v>1</v>
      </c>
      <c r="V171" t="s">
        <v>412</v>
      </c>
      <c r="W171" t="s">
        <v>413</v>
      </c>
      <c r="X171" t="s">
        <v>1229</v>
      </c>
      <c r="Y171">
        <v>83</v>
      </c>
      <c r="Z171">
        <v>83</v>
      </c>
      <c r="AA171">
        <v>9</v>
      </c>
      <c r="AB171">
        <v>9</v>
      </c>
      <c r="AC171">
        <v>12</v>
      </c>
    </row>
    <row r="172" spans="1:29">
      <c r="A172">
        <v>171</v>
      </c>
      <c r="B172" t="s">
        <v>635</v>
      </c>
      <c r="C172" t="s">
        <v>881</v>
      </c>
      <c r="G172" t="s">
        <v>790</v>
      </c>
      <c r="J172" t="s">
        <v>618</v>
      </c>
      <c r="K172">
        <v>0</v>
      </c>
      <c r="N172" t="b">
        <v>1</v>
      </c>
      <c r="O172" t="b">
        <v>1</v>
      </c>
      <c r="P172" t="b">
        <v>0</v>
      </c>
      <c r="Q172">
        <v>17</v>
      </c>
      <c r="R172">
        <v>0</v>
      </c>
      <c r="S172">
        <v>1</v>
      </c>
      <c r="T172">
        <v>14</v>
      </c>
      <c r="U172" t="b">
        <v>1</v>
      </c>
      <c r="V172" t="s">
        <v>412</v>
      </c>
      <c r="W172" t="s">
        <v>413</v>
      </c>
      <c r="X172" t="s">
        <v>1076</v>
      </c>
      <c r="Y172">
        <v>87</v>
      </c>
      <c r="Z172">
        <v>87</v>
      </c>
      <c r="AA172">
        <v>9</v>
      </c>
      <c r="AB172">
        <v>9</v>
      </c>
      <c r="AC172">
        <v>12</v>
      </c>
    </row>
    <row r="173" spans="1:29">
      <c r="A173">
        <v>172</v>
      </c>
      <c r="B173" t="s">
        <v>635</v>
      </c>
      <c r="C173" t="s">
        <v>882</v>
      </c>
      <c r="G173" t="s">
        <v>792</v>
      </c>
      <c r="J173" t="s">
        <v>578</v>
      </c>
      <c r="K173">
        <v>0</v>
      </c>
      <c r="N173" t="b">
        <v>1</v>
      </c>
      <c r="O173" t="b">
        <v>1</v>
      </c>
      <c r="P173" t="b">
        <v>0</v>
      </c>
      <c r="Q173">
        <v>17</v>
      </c>
      <c r="R173">
        <v>0</v>
      </c>
      <c r="S173">
        <v>1</v>
      </c>
      <c r="T173">
        <v>2</v>
      </c>
      <c r="U173" t="b">
        <v>1</v>
      </c>
      <c r="V173" t="s">
        <v>412</v>
      </c>
      <c r="W173" t="s">
        <v>413</v>
      </c>
      <c r="X173" t="s">
        <v>1077</v>
      </c>
      <c r="Y173">
        <v>94</v>
      </c>
      <c r="Z173">
        <v>94</v>
      </c>
      <c r="AA173">
        <v>2</v>
      </c>
      <c r="AB173">
        <v>2</v>
      </c>
      <c r="AC173">
        <v>12</v>
      </c>
    </row>
    <row r="174" spans="1:29">
      <c r="A174">
        <v>173</v>
      </c>
      <c r="B174" t="s">
        <v>635</v>
      </c>
      <c r="C174" t="s">
        <v>883</v>
      </c>
      <c r="G174" t="s">
        <v>794</v>
      </c>
      <c r="J174" t="s">
        <v>578</v>
      </c>
      <c r="K174">
        <v>0</v>
      </c>
      <c r="N174" t="b">
        <v>1</v>
      </c>
      <c r="O174" t="b">
        <v>1</v>
      </c>
      <c r="P174" t="b">
        <v>0</v>
      </c>
      <c r="Q174">
        <v>17</v>
      </c>
      <c r="R174">
        <v>0</v>
      </c>
      <c r="S174">
        <v>1</v>
      </c>
      <c r="T174">
        <v>2</v>
      </c>
      <c r="U174" t="b">
        <v>1</v>
      </c>
      <c r="V174" t="s">
        <v>412</v>
      </c>
      <c r="W174" t="s">
        <v>413</v>
      </c>
      <c r="X174" t="s">
        <v>1078</v>
      </c>
      <c r="Y174">
        <v>95</v>
      </c>
      <c r="Z174">
        <v>95</v>
      </c>
      <c r="AA174">
        <v>2</v>
      </c>
      <c r="AB174">
        <v>2</v>
      </c>
      <c r="AC174">
        <v>12</v>
      </c>
    </row>
    <row r="175" spans="1:29">
      <c r="A175">
        <v>174</v>
      </c>
      <c r="B175" t="s">
        <v>635</v>
      </c>
      <c r="C175" t="s">
        <v>884</v>
      </c>
      <c r="G175" t="s">
        <v>796</v>
      </c>
      <c r="J175" t="s">
        <v>578</v>
      </c>
      <c r="K175">
        <v>0</v>
      </c>
      <c r="N175" t="b">
        <v>1</v>
      </c>
      <c r="O175" t="b">
        <v>1</v>
      </c>
      <c r="P175" t="b">
        <v>0</v>
      </c>
      <c r="Q175">
        <v>17</v>
      </c>
      <c r="R175">
        <v>0</v>
      </c>
      <c r="S175">
        <v>1</v>
      </c>
      <c r="T175">
        <v>2</v>
      </c>
      <c r="U175" t="b">
        <v>1</v>
      </c>
      <c r="V175" t="s">
        <v>412</v>
      </c>
      <c r="W175" t="s">
        <v>413</v>
      </c>
      <c r="X175" t="s">
        <v>1079</v>
      </c>
      <c r="Y175">
        <v>96</v>
      </c>
      <c r="Z175">
        <v>96</v>
      </c>
      <c r="AA175">
        <v>2</v>
      </c>
      <c r="AB175">
        <v>2</v>
      </c>
      <c r="AC175">
        <v>12</v>
      </c>
    </row>
    <row r="176" spans="1:29">
      <c r="A176">
        <v>175</v>
      </c>
      <c r="B176" t="s">
        <v>635</v>
      </c>
      <c r="C176" t="s">
        <v>885</v>
      </c>
      <c r="G176" t="s">
        <v>734</v>
      </c>
      <c r="J176" t="s">
        <v>578</v>
      </c>
      <c r="K176">
        <v>0</v>
      </c>
      <c r="N176" t="b">
        <v>1</v>
      </c>
      <c r="O176" t="b">
        <v>1</v>
      </c>
      <c r="P176" t="b">
        <v>0</v>
      </c>
      <c r="Q176">
        <v>17</v>
      </c>
      <c r="R176">
        <v>0</v>
      </c>
      <c r="S176">
        <v>1</v>
      </c>
      <c r="T176">
        <v>3</v>
      </c>
      <c r="U176" t="b">
        <v>1</v>
      </c>
      <c r="V176" t="s">
        <v>412</v>
      </c>
      <c r="W176" t="s">
        <v>413</v>
      </c>
      <c r="X176" t="s">
        <v>1080</v>
      </c>
      <c r="Y176">
        <v>102</v>
      </c>
      <c r="Z176">
        <v>102</v>
      </c>
      <c r="AA176">
        <v>2</v>
      </c>
      <c r="AB176">
        <v>2</v>
      </c>
      <c r="AC176">
        <v>12</v>
      </c>
    </row>
    <row r="177" spans="1:29">
      <c r="A177">
        <v>176</v>
      </c>
      <c r="B177" t="s">
        <v>635</v>
      </c>
      <c r="C177" t="s">
        <v>886</v>
      </c>
      <c r="G177" t="s">
        <v>734</v>
      </c>
      <c r="J177" t="s">
        <v>578</v>
      </c>
      <c r="K177">
        <v>0</v>
      </c>
      <c r="N177" t="b">
        <v>1</v>
      </c>
      <c r="O177" t="b">
        <v>1</v>
      </c>
      <c r="P177" t="b">
        <v>0</v>
      </c>
      <c r="Q177">
        <v>17</v>
      </c>
      <c r="R177">
        <v>0</v>
      </c>
      <c r="S177">
        <v>1</v>
      </c>
      <c r="T177">
        <v>6</v>
      </c>
      <c r="U177" t="b">
        <v>1</v>
      </c>
      <c r="V177" t="s">
        <v>412</v>
      </c>
      <c r="W177" t="s">
        <v>413</v>
      </c>
      <c r="X177" t="s">
        <v>1081</v>
      </c>
      <c r="Y177">
        <v>105</v>
      </c>
      <c r="Z177">
        <v>105</v>
      </c>
      <c r="AA177">
        <v>2</v>
      </c>
      <c r="AB177">
        <v>2</v>
      </c>
      <c r="AC177">
        <v>12</v>
      </c>
    </row>
    <row r="178" spans="1:29">
      <c r="A178">
        <v>177</v>
      </c>
      <c r="B178" t="s">
        <v>635</v>
      </c>
      <c r="C178" t="s">
        <v>887</v>
      </c>
      <c r="G178" t="s">
        <v>734</v>
      </c>
      <c r="J178" t="s">
        <v>578</v>
      </c>
      <c r="K178">
        <v>0</v>
      </c>
      <c r="N178" t="b">
        <v>1</v>
      </c>
      <c r="O178" t="b">
        <v>1</v>
      </c>
      <c r="P178" t="b">
        <v>0</v>
      </c>
      <c r="Q178">
        <v>17</v>
      </c>
      <c r="R178">
        <v>0</v>
      </c>
      <c r="S178">
        <v>1</v>
      </c>
      <c r="T178">
        <v>3</v>
      </c>
      <c r="U178" t="b">
        <v>1</v>
      </c>
      <c r="V178" t="s">
        <v>412</v>
      </c>
      <c r="W178" t="s">
        <v>413</v>
      </c>
      <c r="X178" t="s">
        <v>1082</v>
      </c>
      <c r="Y178">
        <v>102</v>
      </c>
      <c r="Z178">
        <v>102</v>
      </c>
      <c r="AA178">
        <v>5</v>
      </c>
      <c r="AB178">
        <v>5</v>
      </c>
      <c r="AC178">
        <v>12</v>
      </c>
    </row>
    <row r="179" spans="1:29">
      <c r="A179">
        <v>178</v>
      </c>
      <c r="B179" t="s">
        <v>635</v>
      </c>
      <c r="C179" t="s">
        <v>888</v>
      </c>
      <c r="G179" t="s">
        <v>734</v>
      </c>
      <c r="J179" t="s">
        <v>578</v>
      </c>
      <c r="K179">
        <v>0</v>
      </c>
      <c r="N179" t="b">
        <v>1</v>
      </c>
      <c r="O179" t="b">
        <v>1</v>
      </c>
      <c r="P179" t="b">
        <v>0</v>
      </c>
      <c r="Q179">
        <v>17</v>
      </c>
      <c r="R179">
        <v>0</v>
      </c>
      <c r="S179">
        <v>1</v>
      </c>
      <c r="T179">
        <v>6</v>
      </c>
      <c r="U179" t="b">
        <v>1</v>
      </c>
      <c r="V179" t="s">
        <v>412</v>
      </c>
      <c r="W179" t="s">
        <v>413</v>
      </c>
      <c r="X179" t="s">
        <v>1083</v>
      </c>
      <c r="Y179">
        <v>105</v>
      </c>
      <c r="Z179">
        <v>105</v>
      </c>
      <c r="AA179">
        <v>5</v>
      </c>
      <c r="AB179">
        <v>5</v>
      </c>
      <c r="AC179">
        <v>12</v>
      </c>
    </row>
    <row r="180" spans="1:29">
      <c r="A180">
        <v>179</v>
      </c>
      <c r="B180" t="s">
        <v>635</v>
      </c>
      <c r="C180" t="s">
        <v>889</v>
      </c>
      <c r="G180" t="s">
        <v>734</v>
      </c>
      <c r="J180" t="s">
        <v>580</v>
      </c>
      <c r="K180">
        <v>0</v>
      </c>
      <c r="N180" t="b">
        <v>1</v>
      </c>
      <c r="O180" t="b">
        <v>1</v>
      </c>
      <c r="P180" t="b">
        <v>0</v>
      </c>
      <c r="Q180">
        <v>17</v>
      </c>
      <c r="R180">
        <v>0</v>
      </c>
      <c r="S180">
        <v>1</v>
      </c>
      <c r="T180">
        <v>3</v>
      </c>
      <c r="U180" t="b">
        <v>1</v>
      </c>
      <c r="V180" t="s">
        <v>412</v>
      </c>
      <c r="W180" t="s">
        <v>413</v>
      </c>
      <c r="X180" t="s">
        <v>1084</v>
      </c>
      <c r="Y180">
        <v>102</v>
      </c>
      <c r="Z180">
        <v>102</v>
      </c>
      <c r="AA180">
        <v>11</v>
      </c>
      <c r="AB180">
        <v>11</v>
      </c>
      <c r="AC180">
        <v>12</v>
      </c>
    </row>
    <row r="181" spans="1:29">
      <c r="A181">
        <v>180</v>
      </c>
      <c r="B181" t="s">
        <v>635</v>
      </c>
      <c r="C181" t="s">
        <v>890</v>
      </c>
      <c r="G181" t="s">
        <v>734</v>
      </c>
      <c r="J181" t="s">
        <v>578</v>
      </c>
      <c r="K181">
        <v>0</v>
      </c>
      <c r="N181" t="b">
        <v>1</v>
      </c>
      <c r="O181" t="b">
        <v>1</v>
      </c>
      <c r="P181" t="b">
        <v>0</v>
      </c>
      <c r="Q181">
        <v>17</v>
      </c>
      <c r="R181">
        <v>0</v>
      </c>
      <c r="S181">
        <v>1</v>
      </c>
      <c r="T181">
        <v>6</v>
      </c>
      <c r="U181" t="b">
        <v>1</v>
      </c>
      <c r="V181" t="s">
        <v>412</v>
      </c>
      <c r="W181" t="s">
        <v>413</v>
      </c>
      <c r="X181" t="s">
        <v>1085</v>
      </c>
      <c r="Y181">
        <v>105</v>
      </c>
      <c r="Z181">
        <v>105</v>
      </c>
      <c r="AA181">
        <v>11</v>
      </c>
      <c r="AB181">
        <v>11</v>
      </c>
      <c r="AC181">
        <v>12</v>
      </c>
    </row>
    <row r="182" spans="1:29">
      <c r="A182">
        <v>181</v>
      </c>
      <c r="B182" t="s">
        <v>635</v>
      </c>
      <c r="C182" t="s">
        <v>891</v>
      </c>
      <c r="I182" t="s">
        <v>67</v>
      </c>
      <c r="J182" t="s">
        <v>578</v>
      </c>
      <c r="K182">
        <v>0</v>
      </c>
      <c r="N182" t="b">
        <v>1</v>
      </c>
      <c r="O182" t="b">
        <v>1</v>
      </c>
      <c r="P182" t="b">
        <v>0</v>
      </c>
      <c r="Q182">
        <v>17</v>
      </c>
      <c r="R182">
        <v>2</v>
      </c>
      <c r="S182">
        <v>1</v>
      </c>
      <c r="T182">
        <v>0</v>
      </c>
      <c r="U182" t="b">
        <v>1</v>
      </c>
      <c r="V182" t="s">
        <v>412</v>
      </c>
      <c r="W182" t="s">
        <v>413</v>
      </c>
      <c r="X182" t="s">
        <v>1086</v>
      </c>
      <c r="Y182">
        <v>112</v>
      </c>
      <c r="Z182">
        <v>112</v>
      </c>
      <c r="AA182">
        <v>3</v>
      </c>
      <c r="AB182">
        <v>3</v>
      </c>
      <c r="AC182">
        <v>12</v>
      </c>
    </row>
    <row r="183" spans="1:29">
      <c r="A183">
        <v>182</v>
      </c>
      <c r="B183" t="s">
        <v>635</v>
      </c>
      <c r="C183" t="s">
        <v>892</v>
      </c>
      <c r="I183" t="s">
        <v>67</v>
      </c>
      <c r="J183" t="s">
        <v>578</v>
      </c>
      <c r="K183">
        <v>0</v>
      </c>
      <c r="N183" t="b">
        <v>1</v>
      </c>
      <c r="O183" t="b">
        <v>1</v>
      </c>
      <c r="P183" t="b">
        <v>0</v>
      </c>
      <c r="Q183">
        <v>17</v>
      </c>
      <c r="R183">
        <v>2</v>
      </c>
      <c r="S183">
        <v>1</v>
      </c>
      <c r="T183">
        <v>0</v>
      </c>
      <c r="U183" t="b">
        <v>1</v>
      </c>
      <c r="V183" t="s">
        <v>412</v>
      </c>
      <c r="W183" t="s">
        <v>413</v>
      </c>
      <c r="X183" t="s">
        <v>1087</v>
      </c>
      <c r="Y183">
        <v>113</v>
      </c>
      <c r="Z183">
        <v>113</v>
      </c>
      <c r="AA183">
        <v>3</v>
      </c>
      <c r="AB183">
        <v>3</v>
      </c>
      <c r="AC183">
        <v>12</v>
      </c>
    </row>
    <row r="184" spans="1:29">
      <c r="A184">
        <v>183</v>
      </c>
      <c r="B184" t="s">
        <v>635</v>
      </c>
      <c r="C184" t="s">
        <v>893</v>
      </c>
      <c r="I184" t="s">
        <v>67</v>
      </c>
      <c r="J184" t="s">
        <v>576</v>
      </c>
      <c r="K184">
        <v>0</v>
      </c>
      <c r="N184" t="b">
        <v>1</v>
      </c>
      <c r="O184" t="b">
        <v>1</v>
      </c>
      <c r="P184" t="b">
        <v>0</v>
      </c>
      <c r="Q184">
        <v>17</v>
      </c>
      <c r="R184">
        <v>2</v>
      </c>
      <c r="S184">
        <v>1</v>
      </c>
      <c r="T184">
        <v>0</v>
      </c>
      <c r="U184" t="b">
        <v>1</v>
      </c>
      <c r="V184" t="s">
        <v>412</v>
      </c>
      <c r="W184" t="s">
        <v>413</v>
      </c>
      <c r="X184" t="s">
        <v>1088</v>
      </c>
      <c r="Y184">
        <v>114</v>
      </c>
      <c r="Z184">
        <v>114</v>
      </c>
      <c r="AA184">
        <v>3</v>
      </c>
      <c r="AB184">
        <v>3</v>
      </c>
      <c r="AC184">
        <v>12</v>
      </c>
    </row>
    <row r="185" spans="1:29">
      <c r="A185">
        <v>184</v>
      </c>
      <c r="B185" t="s">
        <v>635</v>
      </c>
      <c r="C185" t="s">
        <v>894</v>
      </c>
      <c r="I185" t="s">
        <v>67</v>
      </c>
      <c r="J185" t="s">
        <v>578</v>
      </c>
      <c r="K185">
        <v>0</v>
      </c>
      <c r="N185" t="b">
        <v>1</v>
      </c>
      <c r="O185" t="b">
        <v>1</v>
      </c>
      <c r="P185" t="b">
        <v>0</v>
      </c>
      <c r="Q185">
        <v>17</v>
      </c>
      <c r="R185">
        <v>2</v>
      </c>
      <c r="S185">
        <v>1</v>
      </c>
      <c r="T185">
        <v>0</v>
      </c>
      <c r="U185" t="b">
        <v>1</v>
      </c>
      <c r="V185" t="s">
        <v>412</v>
      </c>
      <c r="W185" t="s">
        <v>413</v>
      </c>
      <c r="X185" t="s">
        <v>1089</v>
      </c>
      <c r="Y185">
        <v>115</v>
      </c>
      <c r="Z185">
        <v>115</v>
      </c>
      <c r="AA185">
        <v>3</v>
      </c>
      <c r="AB185">
        <v>3</v>
      </c>
      <c r="AC185">
        <v>12</v>
      </c>
    </row>
    <row r="186" spans="1:29">
      <c r="A186">
        <v>185</v>
      </c>
      <c r="B186" t="s">
        <v>635</v>
      </c>
      <c r="C186" t="s">
        <v>895</v>
      </c>
      <c r="I186" t="s">
        <v>67</v>
      </c>
      <c r="J186" t="s">
        <v>578</v>
      </c>
      <c r="K186">
        <v>0</v>
      </c>
      <c r="N186" t="b">
        <v>1</v>
      </c>
      <c r="O186" t="b">
        <v>1</v>
      </c>
      <c r="P186" t="b">
        <v>0</v>
      </c>
      <c r="Q186">
        <v>17</v>
      </c>
      <c r="R186">
        <v>2</v>
      </c>
      <c r="S186">
        <v>1</v>
      </c>
      <c r="T186">
        <v>0</v>
      </c>
      <c r="U186" t="b">
        <v>1</v>
      </c>
      <c r="V186" t="s">
        <v>412</v>
      </c>
      <c r="W186" t="s">
        <v>413</v>
      </c>
      <c r="X186" t="s">
        <v>1090</v>
      </c>
      <c r="Y186">
        <v>116</v>
      </c>
      <c r="Z186">
        <v>116</v>
      </c>
      <c r="AA186">
        <v>3</v>
      </c>
      <c r="AB186">
        <v>3</v>
      </c>
      <c r="AC186">
        <v>12</v>
      </c>
    </row>
    <row r="187" spans="1:29">
      <c r="A187">
        <v>186</v>
      </c>
      <c r="B187" t="s">
        <v>635</v>
      </c>
      <c r="C187" t="s">
        <v>897</v>
      </c>
      <c r="I187" t="s">
        <v>67</v>
      </c>
      <c r="J187" t="s">
        <v>578</v>
      </c>
      <c r="K187">
        <v>0</v>
      </c>
      <c r="N187" t="b">
        <v>1</v>
      </c>
      <c r="O187" t="b">
        <v>1</v>
      </c>
      <c r="P187" t="b">
        <v>0</v>
      </c>
      <c r="Q187">
        <v>17</v>
      </c>
      <c r="R187">
        <v>2</v>
      </c>
      <c r="S187">
        <v>1</v>
      </c>
      <c r="T187">
        <v>0</v>
      </c>
      <c r="U187" t="b">
        <v>1</v>
      </c>
      <c r="V187" t="s">
        <v>412</v>
      </c>
      <c r="W187" t="s">
        <v>413</v>
      </c>
      <c r="X187" t="s">
        <v>1091</v>
      </c>
      <c r="Y187">
        <v>117</v>
      </c>
      <c r="Z187">
        <v>117</v>
      </c>
      <c r="AA187">
        <v>3</v>
      </c>
      <c r="AB187">
        <v>3</v>
      </c>
      <c r="AC187">
        <v>12</v>
      </c>
    </row>
    <row r="188" spans="1:29">
      <c r="A188">
        <v>187</v>
      </c>
      <c r="B188" t="s">
        <v>635</v>
      </c>
      <c r="C188" t="s">
        <v>898</v>
      </c>
      <c r="I188" t="s">
        <v>68</v>
      </c>
      <c r="J188" t="s">
        <v>578</v>
      </c>
      <c r="K188">
        <v>0</v>
      </c>
      <c r="N188" t="b">
        <v>1</v>
      </c>
      <c r="O188" t="b">
        <v>1</v>
      </c>
      <c r="P188" t="b">
        <v>0</v>
      </c>
      <c r="Q188">
        <v>17</v>
      </c>
      <c r="R188">
        <v>9</v>
      </c>
      <c r="S188">
        <v>1</v>
      </c>
      <c r="T188">
        <v>0</v>
      </c>
      <c r="U188" t="b">
        <v>1</v>
      </c>
      <c r="V188" t="s">
        <v>412</v>
      </c>
      <c r="W188" t="s">
        <v>413</v>
      </c>
      <c r="X188" t="s">
        <v>1092</v>
      </c>
      <c r="Y188">
        <v>112</v>
      </c>
      <c r="Z188">
        <v>112</v>
      </c>
      <c r="AA188">
        <v>10</v>
      </c>
      <c r="AB188">
        <v>10</v>
      </c>
      <c r="AC188">
        <v>12</v>
      </c>
    </row>
    <row r="189" spans="1:29">
      <c r="A189">
        <v>188</v>
      </c>
      <c r="B189" t="s">
        <v>635</v>
      </c>
      <c r="C189" t="s">
        <v>899</v>
      </c>
      <c r="I189" t="s">
        <v>68</v>
      </c>
      <c r="J189" t="s">
        <v>578</v>
      </c>
      <c r="K189">
        <v>0</v>
      </c>
      <c r="N189" t="b">
        <v>1</v>
      </c>
      <c r="O189" t="b">
        <v>1</v>
      </c>
      <c r="P189" t="b">
        <v>0</v>
      </c>
      <c r="Q189">
        <v>17</v>
      </c>
      <c r="R189">
        <v>9</v>
      </c>
      <c r="S189">
        <v>1</v>
      </c>
      <c r="T189">
        <v>0</v>
      </c>
      <c r="U189" t="b">
        <v>1</v>
      </c>
      <c r="V189" t="s">
        <v>412</v>
      </c>
      <c r="W189" t="s">
        <v>413</v>
      </c>
      <c r="X189" t="s">
        <v>1093</v>
      </c>
      <c r="Y189">
        <v>113</v>
      </c>
      <c r="Z189">
        <v>113</v>
      </c>
      <c r="AA189">
        <v>10</v>
      </c>
      <c r="AB189">
        <v>10</v>
      </c>
      <c r="AC189">
        <v>12</v>
      </c>
    </row>
    <row r="190" spans="1:29">
      <c r="A190">
        <v>189</v>
      </c>
      <c r="B190" t="s">
        <v>635</v>
      </c>
      <c r="C190" t="s">
        <v>900</v>
      </c>
      <c r="I190" t="s">
        <v>68</v>
      </c>
      <c r="J190" t="s">
        <v>578</v>
      </c>
      <c r="K190">
        <v>0</v>
      </c>
      <c r="N190" t="b">
        <v>1</v>
      </c>
      <c r="O190" t="b">
        <v>1</v>
      </c>
      <c r="P190" t="b">
        <v>0</v>
      </c>
      <c r="Q190">
        <v>17</v>
      </c>
      <c r="R190">
        <v>9</v>
      </c>
      <c r="S190">
        <v>1</v>
      </c>
      <c r="T190">
        <v>0</v>
      </c>
      <c r="U190" t="b">
        <v>1</v>
      </c>
      <c r="V190" t="s">
        <v>412</v>
      </c>
      <c r="W190" t="s">
        <v>413</v>
      </c>
      <c r="X190" t="s">
        <v>1094</v>
      </c>
      <c r="Y190">
        <v>114</v>
      </c>
      <c r="Z190">
        <v>114</v>
      </c>
      <c r="AA190">
        <v>10</v>
      </c>
      <c r="AB190">
        <v>10</v>
      </c>
      <c r="AC190">
        <v>12</v>
      </c>
    </row>
    <row r="191" spans="1:29">
      <c r="A191">
        <v>190</v>
      </c>
      <c r="B191" t="s">
        <v>635</v>
      </c>
      <c r="C191" t="s">
        <v>901</v>
      </c>
      <c r="I191" t="s">
        <v>68</v>
      </c>
      <c r="J191" t="s">
        <v>576</v>
      </c>
      <c r="K191">
        <v>0</v>
      </c>
      <c r="N191" t="b">
        <v>1</v>
      </c>
      <c r="O191" t="b">
        <v>1</v>
      </c>
      <c r="P191" t="b">
        <v>0</v>
      </c>
      <c r="Q191">
        <v>17</v>
      </c>
      <c r="R191">
        <v>9</v>
      </c>
      <c r="S191">
        <v>1</v>
      </c>
      <c r="T191">
        <v>0</v>
      </c>
      <c r="U191" t="b">
        <v>1</v>
      </c>
      <c r="V191" t="s">
        <v>412</v>
      </c>
      <c r="W191" t="s">
        <v>413</v>
      </c>
      <c r="X191" t="s">
        <v>1095</v>
      </c>
      <c r="Y191">
        <v>115</v>
      </c>
      <c r="Z191">
        <v>115</v>
      </c>
      <c r="AA191">
        <v>10</v>
      </c>
      <c r="AB191">
        <v>10</v>
      </c>
      <c r="AC191">
        <v>12</v>
      </c>
    </row>
    <row r="192" spans="1:29">
      <c r="A192">
        <v>191</v>
      </c>
      <c r="B192" t="s">
        <v>635</v>
      </c>
      <c r="C192" t="s">
        <v>902</v>
      </c>
      <c r="I192" t="s">
        <v>68</v>
      </c>
      <c r="J192" t="s">
        <v>578</v>
      </c>
      <c r="K192">
        <v>0</v>
      </c>
      <c r="N192" t="b">
        <v>1</v>
      </c>
      <c r="O192" t="b">
        <v>1</v>
      </c>
      <c r="P192" t="b">
        <v>0</v>
      </c>
      <c r="Q192">
        <v>17</v>
      </c>
      <c r="R192">
        <v>9</v>
      </c>
      <c r="S192">
        <v>1</v>
      </c>
      <c r="T192">
        <v>0</v>
      </c>
      <c r="U192" t="b">
        <v>1</v>
      </c>
      <c r="V192" t="s">
        <v>412</v>
      </c>
      <c r="W192" t="s">
        <v>413</v>
      </c>
      <c r="X192" t="s">
        <v>1096</v>
      </c>
      <c r="Y192">
        <v>116</v>
      </c>
      <c r="Z192">
        <v>116</v>
      </c>
      <c r="AA192">
        <v>10</v>
      </c>
      <c r="AB192">
        <v>10</v>
      </c>
      <c r="AC192">
        <v>12</v>
      </c>
    </row>
    <row r="193" spans="1:29">
      <c r="A193">
        <v>210</v>
      </c>
      <c r="B193" t="s">
        <v>635</v>
      </c>
      <c r="C193" t="s">
        <v>903</v>
      </c>
      <c r="G193" t="s">
        <v>904</v>
      </c>
      <c r="J193" t="s">
        <v>586</v>
      </c>
      <c r="K193">
        <v>0</v>
      </c>
      <c r="N193" t="b">
        <v>1</v>
      </c>
      <c r="O193" t="b">
        <v>0</v>
      </c>
      <c r="P193" t="b">
        <v>0</v>
      </c>
      <c r="Q193">
        <v>12</v>
      </c>
      <c r="R193">
        <v>0</v>
      </c>
      <c r="S193">
        <v>1</v>
      </c>
      <c r="T193">
        <v>10</v>
      </c>
      <c r="U193" t="b">
        <v>1</v>
      </c>
      <c r="V193" t="s">
        <v>414</v>
      </c>
      <c r="W193" t="s">
        <v>415</v>
      </c>
      <c r="X193" t="s">
        <v>1097</v>
      </c>
      <c r="Y193">
        <v>36</v>
      </c>
      <c r="Z193">
        <v>36</v>
      </c>
      <c r="AA193">
        <v>5</v>
      </c>
      <c r="AB193">
        <v>5</v>
      </c>
      <c r="AC193">
        <v>14</v>
      </c>
    </row>
    <row r="194" spans="1:29">
      <c r="A194">
        <v>211</v>
      </c>
      <c r="B194" t="s">
        <v>635</v>
      </c>
      <c r="C194" t="s">
        <v>905</v>
      </c>
      <c r="G194" t="s">
        <v>906</v>
      </c>
      <c r="J194" t="s">
        <v>586</v>
      </c>
      <c r="K194">
        <v>0</v>
      </c>
      <c r="N194" t="b">
        <v>0</v>
      </c>
      <c r="O194" t="b">
        <v>1</v>
      </c>
      <c r="P194" t="b">
        <v>0</v>
      </c>
      <c r="Q194">
        <v>12</v>
      </c>
      <c r="R194">
        <v>0</v>
      </c>
      <c r="S194">
        <v>1</v>
      </c>
      <c r="T194">
        <v>10</v>
      </c>
      <c r="U194" t="b">
        <v>1</v>
      </c>
      <c r="V194" t="s">
        <v>414</v>
      </c>
      <c r="W194" t="s">
        <v>415</v>
      </c>
      <c r="X194" t="s">
        <v>1098</v>
      </c>
      <c r="Y194">
        <v>38</v>
      </c>
      <c r="Z194">
        <v>38</v>
      </c>
      <c r="AA194">
        <v>5</v>
      </c>
      <c r="AB194">
        <v>5</v>
      </c>
      <c r="AC194">
        <v>14</v>
      </c>
    </row>
    <row r="195" spans="1:29">
      <c r="A195">
        <v>225</v>
      </c>
      <c r="B195" t="s">
        <v>628</v>
      </c>
      <c r="C195" t="s">
        <v>930</v>
      </c>
      <c r="D195" t="s">
        <v>931</v>
      </c>
      <c r="E195" t="s">
        <v>932</v>
      </c>
      <c r="U195" t="b">
        <v>1</v>
      </c>
      <c r="V195" t="s">
        <v>188</v>
      </c>
      <c r="W195" t="s">
        <v>408</v>
      </c>
      <c r="X195" t="s">
        <v>1100</v>
      </c>
      <c r="Y195">
        <v>1</v>
      </c>
      <c r="Z195">
        <v>87</v>
      </c>
      <c r="AA195">
        <v>1</v>
      </c>
      <c r="AB195">
        <v>15</v>
      </c>
      <c r="AC195">
        <v>6</v>
      </c>
    </row>
    <row r="196" spans="1:29">
      <c r="A196">
        <v>226</v>
      </c>
      <c r="B196" t="s">
        <v>631</v>
      </c>
      <c r="C196" t="s">
        <v>933</v>
      </c>
      <c r="U196" t="b">
        <v>1</v>
      </c>
      <c r="V196" t="s">
        <v>188</v>
      </c>
      <c r="W196" t="s">
        <v>408</v>
      </c>
      <c r="X196" t="s">
        <v>1101</v>
      </c>
      <c r="Y196">
        <v>13</v>
      </c>
      <c r="Z196">
        <v>87</v>
      </c>
      <c r="AA196">
        <v>1</v>
      </c>
      <c r="AB196">
        <v>15</v>
      </c>
      <c r="AC196">
        <v>6</v>
      </c>
    </row>
    <row r="197" spans="1:29">
      <c r="A197">
        <v>227</v>
      </c>
      <c r="B197" t="s">
        <v>633</v>
      </c>
      <c r="C197" t="s">
        <v>934</v>
      </c>
      <c r="U197" t="b">
        <v>1</v>
      </c>
      <c r="V197" t="s">
        <v>188</v>
      </c>
      <c r="W197" t="s">
        <v>408</v>
      </c>
      <c r="X197" t="s">
        <v>1102</v>
      </c>
      <c r="Y197">
        <v>13</v>
      </c>
      <c r="Z197">
        <v>14</v>
      </c>
      <c r="AA197">
        <v>5</v>
      </c>
      <c r="AB197">
        <v>5</v>
      </c>
      <c r="AC197">
        <v>6</v>
      </c>
    </row>
    <row r="198" spans="1:29">
      <c r="A198">
        <v>228</v>
      </c>
      <c r="B198" t="s">
        <v>633</v>
      </c>
      <c r="C198" t="s">
        <v>935</v>
      </c>
      <c r="U198" t="b">
        <v>1</v>
      </c>
      <c r="V198" t="s">
        <v>188</v>
      </c>
      <c r="W198" t="s">
        <v>408</v>
      </c>
      <c r="X198" t="s">
        <v>1103</v>
      </c>
      <c r="Y198">
        <v>13</v>
      </c>
      <c r="Z198">
        <v>18</v>
      </c>
      <c r="AA198">
        <v>7</v>
      </c>
      <c r="AB198">
        <v>7</v>
      </c>
      <c r="AC198">
        <v>6</v>
      </c>
    </row>
    <row r="199" spans="1:29">
      <c r="A199">
        <v>229</v>
      </c>
      <c r="B199" t="s">
        <v>633</v>
      </c>
      <c r="C199" t="s">
        <v>936</v>
      </c>
      <c r="U199" t="b">
        <v>1</v>
      </c>
      <c r="V199" t="s">
        <v>188</v>
      </c>
      <c r="W199" t="s">
        <v>408</v>
      </c>
      <c r="X199" t="s">
        <v>1104</v>
      </c>
      <c r="Y199">
        <v>21</v>
      </c>
      <c r="Z199">
        <v>47</v>
      </c>
      <c r="AA199">
        <v>10</v>
      </c>
      <c r="AB199">
        <v>10</v>
      </c>
      <c r="AC199">
        <v>6</v>
      </c>
    </row>
    <row r="200" spans="1:29">
      <c r="A200">
        <v>230</v>
      </c>
      <c r="B200" t="s">
        <v>633</v>
      </c>
      <c r="C200" t="s">
        <v>937</v>
      </c>
      <c r="U200" t="b">
        <v>1</v>
      </c>
      <c r="V200" t="s">
        <v>188</v>
      </c>
      <c r="W200" t="s">
        <v>408</v>
      </c>
      <c r="X200" t="s">
        <v>1105</v>
      </c>
      <c r="Y200">
        <v>52</v>
      </c>
      <c r="Z200">
        <v>55</v>
      </c>
      <c r="AA200">
        <v>2</v>
      </c>
      <c r="AB200">
        <v>7</v>
      </c>
      <c r="AC200">
        <v>6</v>
      </c>
    </row>
    <row r="201" spans="1:29">
      <c r="A201">
        <v>231</v>
      </c>
      <c r="B201" t="s">
        <v>633</v>
      </c>
      <c r="C201" t="s">
        <v>938</v>
      </c>
      <c r="U201" t="b">
        <v>1</v>
      </c>
      <c r="V201" t="s">
        <v>188</v>
      </c>
      <c r="W201" t="s">
        <v>408</v>
      </c>
      <c r="X201" t="s">
        <v>1106</v>
      </c>
      <c r="Y201">
        <v>52</v>
      </c>
      <c r="Z201">
        <v>66</v>
      </c>
      <c r="AA201">
        <v>10</v>
      </c>
      <c r="AB201">
        <v>10</v>
      </c>
      <c r="AC201">
        <v>6</v>
      </c>
    </row>
    <row r="202" spans="1:29">
      <c r="A202">
        <v>232</v>
      </c>
      <c r="B202" t="s">
        <v>633</v>
      </c>
      <c r="C202" t="s">
        <v>939</v>
      </c>
      <c r="U202" t="b">
        <v>1</v>
      </c>
      <c r="V202" t="s">
        <v>188</v>
      </c>
      <c r="W202" t="s">
        <v>408</v>
      </c>
      <c r="X202" t="s">
        <v>1107</v>
      </c>
      <c r="Y202">
        <v>78</v>
      </c>
      <c r="Z202">
        <v>87</v>
      </c>
      <c r="AA202">
        <v>2</v>
      </c>
      <c r="AB202">
        <v>2</v>
      </c>
      <c r="AC202">
        <v>6</v>
      </c>
    </row>
    <row r="203" spans="1:29">
      <c r="A203">
        <v>233</v>
      </c>
      <c r="B203" t="s">
        <v>633</v>
      </c>
      <c r="C203" t="s">
        <v>940</v>
      </c>
      <c r="U203" t="b">
        <v>1</v>
      </c>
      <c r="V203" t="s">
        <v>188</v>
      </c>
      <c r="W203" t="s">
        <v>408</v>
      </c>
      <c r="X203" t="s">
        <v>1108</v>
      </c>
      <c r="Y203">
        <v>78</v>
      </c>
      <c r="Z203">
        <v>79</v>
      </c>
      <c r="AA203">
        <v>7</v>
      </c>
      <c r="AB203">
        <v>7</v>
      </c>
      <c r="AC203">
        <v>6</v>
      </c>
    </row>
    <row r="204" spans="1:29">
      <c r="A204">
        <v>234</v>
      </c>
      <c r="B204" t="s">
        <v>635</v>
      </c>
      <c r="C204" t="s">
        <v>941</v>
      </c>
      <c r="G204" t="s">
        <v>942</v>
      </c>
      <c r="I204" t="s">
        <v>734</v>
      </c>
      <c r="J204" t="s">
        <v>580</v>
      </c>
      <c r="K204">
        <v>0</v>
      </c>
      <c r="N204" t="b">
        <v>1</v>
      </c>
      <c r="O204" t="b">
        <v>0</v>
      </c>
      <c r="P204" t="b">
        <v>0</v>
      </c>
      <c r="Q204">
        <v>15</v>
      </c>
      <c r="R204">
        <v>0</v>
      </c>
      <c r="S204">
        <v>1</v>
      </c>
      <c r="T204">
        <v>0</v>
      </c>
      <c r="U204" t="b">
        <v>1</v>
      </c>
      <c r="V204" t="s">
        <v>188</v>
      </c>
      <c r="W204" t="s">
        <v>408</v>
      </c>
      <c r="X204" t="s">
        <v>1109</v>
      </c>
      <c r="Y204">
        <v>14</v>
      </c>
      <c r="Z204">
        <v>14</v>
      </c>
      <c r="AA204">
        <v>5</v>
      </c>
      <c r="AB204">
        <v>5</v>
      </c>
      <c r="AC204">
        <v>6</v>
      </c>
    </row>
    <row r="205" spans="1:29">
      <c r="A205">
        <v>235</v>
      </c>
      <c r="B205" t="s">
        <v>635</v>
      </c>
      <c r="C205" t="s">
        <v>943</v>
      </c>
      <c r="G205" t="s">
        <v>944</v>
      </c>
      <c r="I205" t="s">
        <v>734</v>
      </c>
      <c r="J205" t="s">
        <v>580</v>
      </c>
      <c r="K205">
        <v>0</v>
      </c>
      <c r="N205" t="b">
        <v>1</v>
      </c>
      <c r="O205" t="b">
        <v>0</v>
      </c>
      <c r="P205" t="b">
        <v>0</v>
      </c>
      <c r="Q205">
        <v>15</v>
      </c>
      <c r="R205">
        <v>0</v>
      </c>
      <c r="S205">
        <v>1</v>
      </c>
      <c r="T205">
        <v>0</v>
      </c>
      <c r="U205" t="b">
        <v>1</v>
      </c>
      <c r="V205" t="s">
        <v>188</v>
      </c>
      <c r="W205" t="s">
        <v>408</v>
      </c>
      <c r="X205" t="s">
        <v>1110</v>
      </c>
      <c r="Y205">
        <v>14</v>
      </c>
      <c r="Z205">
        <v>14</v>
      </c>
      <c r="AA205">
        <v>7</v>
      </c>
      <c r="AB205">
        <v>7</v>
      </c>
      <c r="AC205">
        <v>6</v>
      </c>
    </row>
    <row r="206" spans="1:29">
      <c r="A206">
        <v>236</v>
      </c>
      <c r="B206" t="s">
        <v>635</v>
      </c>
      <c r="C206" t="s">
        <v>945</v>
      </c>
      <c r="G206" t="s">
        <v>1134</v>
      </c>
      <c r="I206" t="s">
        <v>734</v>
      </c>
      <c r="J206" t="s">
        <v>618</v>
      </c>
      <c r="K206">
        <v>0</v>
      </c>
      <c r="N206" t="b">
        <v>1</v>
      </c>
      <c r="O206" t="b">
        <v>0</v>
      </c>
      <c r="P206" t="b">
        <v>0</v>
      </c>
      <c r="Q206">
        <v>15</v>
      </c>
      <c r="R206">
        <v>0</v>
      </c>
      <c r="S206">
        <v>1</v>
      </c>
      <c r="T206">
        <v>0</v>
      </c>
      <c r="U206" t="b">
        <v>1</v>
      </c>
      <c r="V206" t="s">
        <v>188</v>
      </c>
      <c r="W206" t="s">
        <v>408</v>
      </c>
      <c r="X206" t="s">
        <v>1099</v>
      </c>
      <c r="Y206">
        <v>18</v>
      </c>
      <c r="Z206">
        <v>18</v>
      </c>
      <c r="AA206">
        <v>7</v>
      </c>
      <c r="AB206">
        <v>7</v>
      </c>
      <c r="AC206">
        <v>6</v>
      </c>
    </row>
    <row r="207" spans="1:29">
      <c r="A207">
        <v>237</v>
      </c>
      <c r="B207" t="s">
        <v>635</v>
      </c>
      <c r="C207" t="s">
        <v>946</v>
      </c>
      <c r="G207" t="s">
        <v>947</v>
      </c>
      <c r="I207" t="s">
        <v>1140</v>
      </c>
      <c r="J207" t="s">
        <v>578</v>
      </c>
      <c r="K207">
        <v>0</v>
      </c>
      <c r="N207" t="b">
        <v>1</v>
      </c>
      <c r="O207" t="b">
        <v>0</v>
      </c>
      <c r="P207" t="b">
        <v>0</v>
      </c>
      <c r="Q207">
        <v>15</v>
      </c>
      <c r="R207">
        <v>0</v>
      </c>
      <c r="S207">
        <v>1</v>
      </c>
      <c r="T207">
        <v>0</v>
      </c>
      <c r="U207" t="b">
        <v>1</v>
      </c>
      <c r="V207" t="s">
        <v>188</v>
      </c>
      <c r="W207" t="s">
        <v>408</v>
      </c>
      <c r="X207" t="s">
        <v>1111</v>
      </c>
      <c r="Y207">
        <v>26</v>
      </c>
      <c r="Z207">
        <v>26</v>
      </c>
      <c r="AA207">
        <v>10</v>
      </c>
      <c r="AB207">
        <v>10</v>
      </c>
      <c r="AC207">
        <v>6</v>
      </c>
    </row>
    <row r="208" spans="1:29">
      <c r="A208">
        <v>238</v>
      </c>
      <c r="B208" t="s">
        <v>635</v>
      </c>
      <c r="C208" t="s">
        <v>948</v>
      </c>
      <c r="G208" t="s">
        <v>949</v>
      </c>
      <c r="I208" t="s">
        <v>1140</v>
      </c>
      <c r="J208" t="s">
        <v>578</v>
      </c>
      <c r="K208">
        <v>0</v>
      </c>
      <c r="N208" t="b">
        <v>1</v>
      </c>
      <c r="O208" t="b">
        <v>0</v>
      </c>
      <c r="P208" t="b">
        <v>0</v>
      </c>
      <c r="Q208">
        <v>15</v>
      </c>
      <c r="R208">
        <v>0</v>
      </c>
      <c r="S208">
        <v>1</v>
      </c>
      <c r="T208">
        <v>0</v>
      </c>
      <c r="U208" t="b">
        <v>1</v>
      </c>
      <c r="V208" t="s">
        <v>188</v>
      </c>
      <c r="W208" t="s">
        <v>408</v>
      </c>
      <c r="X208" t="s">
        <v>1112</v>
      </c>
      <c r="Y208">
        <v>27</v>
      </c>
      <c r="Z208">
        <v>27</v>
      </c>
      <c r="AA208">
        <v>10</v>
      </c>
      <c r="AB208">
        <v>10</v>
      </c>
      <c r="AC208">
        <v>6</v>
      </c>
    </row>
    <row r="209" spans="1:29">
      <c r="A209">
        <v>239</v>
      </c>
      <c r="B209" t="s">
        <v>635</v>
      </c>
      <c r="C209" t="s">
        <v>950</v>
      </c>
      <c r="G209" t="s">
        <v>951</v>
      </c>
      <c r="I209" t="s">
        <v>1140</v>
      </c>
      <c r="J209" t="s">
        <v>578</v>
      </c>
      <c r="K209">
        <v>0</v>
      </c>
      <c r="N209" t="b">
        <v>1</v>
      </c>
      <c r="O209" t="b">
        <v>0</v>
      </c>
      <c r="P209" t="b">
        <v>0</v>
      </c>
      <c r="Q209">
        <v>15</v>
      </c>
      <c r="R209">
        <v>0</v>
      </c>
      <c r="S209">
        <v>1</v>
      </c>
      <c r="T209">
        <v>0</v>
      </c>
      <c r="U209" t="b">
        <v>1</v>
      </c>
      <c r="V209" t="s">
        <v>188</v>
      </c>
      <c r="W209" t="s">
        <v>408</v>
      </c>
      <c r="X209" t="s">
        <v>1113</v>
      </c>
      <c r="Y209">
        <v>28</v>
      </c>
      <c r="Z209">
        <v>28</v>
      </c>
      <c r="AA209">
        <v>10</v>
      </c>
      <c r="AB209">
        <v>10</v>
      </c>
      <c r="AC209">
        <v>6</v>
      </c>
    </row>
    <row r="210" spans="1:29">
      <c r="A210">
        <v>240</v>
      </c>
      <c r="B210" t="s">
        <v>635</v>
      </c>
      <c r="C210" t="s">
        <v>952</v>
      </c>
      <c r="G210" t="s">
        <v>953</v>
      </c>
      <c r="I210" t="s">
        <v>1140</v>
      </c>
      <c r="J210" t="s">
        <v>578</v>
      </c>
      <c r="K210">
        <v>0</v>
      </c>
      <c r="N210" t="b">
        <v>1</v>
      </c>
      <c r="O210" t="b">
        <v>0</v>
      </c>
      <c r="P210" t="b">
        <v>0</v>
      </c>
      <c r="Q210">
        <v>15</v>
      </c>
      <c r="R210">
        <v>0</v>
      </c>
      <c r="S210">
        <v>1</v>
      </c>
      <c r="T210">
        <v>0</v>
      </c>
      <c r="U210" t="b">
        <v>1</v>
      </c>
      <c r="V210" t="s">
        <v>188</v>
      </c>
      <c r="W210" t="s">
        <v>408</v>
      </c>
      <c r="X210" t="s">
        <v>1114</v>
      </c>
      <c r="Y210">
        <v>29</v>
      </c>
      <c r="Z210">
        <v>29</v>
      </c>
      <c r="AA210">
        <v>10</v>
      </c>
      <c r="AB210">
        <v>10</v>
      </c>
      <c r="AC210">
        <v>6</v>
      </c>
    </row>
    <row r="211" spans="1:29">
      <c r="A211">
        <v>241</v>
      </c>
      <c r="B211" t="s">
        <v>635</v>
      </c>
      <c r="C211" t="s">
        <v>954</v>
      </c>
      <c r="G211" t="s">
        <v>955</v>
      </c>
      <c r="I211" t="s">
        <v>1140</v>
      </c>
      <c r="J211" t="s">
        <v>578</v>
      </c>
      <c r="K211">
        <v>0</v>
      </c>
      <c r="N211" t="b">
        <v>1</v>
      </c>
      <c r="O211" t="b">
        <v>0</v>
      </c>
      <c r="P211" t="b">
        <v>0</v>
      </c>
      <c r="Q211">
        <v>15</v>
      </c>
      <c r="R211">
        <v>0</v>
      </c>
      <c r="S211">
        <v>1</v>
      </c>
      <c r="T211">
        <v>0</v>
      </c>
      <c r="U211" t="b">
        <v>1</v>
      </c>
      <c r="V211" t="s">
        <v>188</v>
      </c>
      <c r="W211" t="s">
        <v>408</v>
      </c>
      <c r="X211" t="s">
        <v>1115</v>
      </c>
      <c r="Y211">
        <v>30</v>
      </c>
      <c r="Z211">
        <v>30</v>
      </c>
      <c r="AA211">
        <v>10</v>
      </c>
      <c r="AB211">
        <v>10</v>
      </c>
      <c r="AC211">
        <v>6</v>
      </c>
    </row>
    <row r="212" spans="1:29">
      <c r="A212">
        <v>242</v>
      </c>
      <c r="B212" t="s">
        <v>635</v>
      </c>
      <c r="C212" t="s">
        <v>956</v>
      </c>
      <c r="G212" t="s">
        <v>957</v>
      </c>
      <c r="I212" t="s">
        <v>1140</v>
      </c>
      <c r="J212" t="s">
        <v>578</v>
      </c>
      <c r="K212">
        <v>0</v>
      </c>
      <c r="N212" t="b">
        <v>1</v>
      </c>
      <c r="O212" t="b">
        <v>0</v>
      </c>
      <c r="P212" t="b">
        <v>0</v>
      </c>
      <c r="Q212">
        <v>15</v>
      </c>
      <c r="R212">
        <v>0</v>
      </c>
      <c r="S212">
        <v>1</v>
      </c>
      <c r="T212">
        <v>0</v>
      </c>
      <c r="U212" t="b">
        <v>1</v>
      </c>
      <c r="V212" t="s">
        <v>188</v>
      </c>
      <c r="W212" t="s">
        <v>408</v>
      </c>
      <c r="X212" t="s">
        <v>1116</v>
      </c>
      <c r="Y212">
        <v>31</v>
      </c>
      <c r="Z212">
        <v>31</v>
      </c>
      <c r="AA212">
        <v>10</v>
      </c>
      <c r="AB212">
        <v>10</v>
      </c>
      <c r="AC212">
        <v>6</v>
      </c>
    </row>
    <row r="213" spans="1:29">
      <c r="A213">
        <v>243</v>
      </c>
      <c r="B213" t="s">
        <v>635</v>
      </c>
      <c r="C213" t="s">
        <v>958</v>
      </c>
      <c r="G213" t="s">
        <v>959</v>
      </c>
      <c r="I213" t="s">
        <v>1140</v>
      </c>
      <c r="J213" t="s">
        <v>578</v>
      </c>
      <c r="K213">
        <v>0</v>
      </c>
      <c r="N213" t="b">
        <v>1</v>
      </c>
      <c r="O213" t="b">
        <v>0</v>
      </c>
      <c r="P213" t="b">
        <v>0</v>
      </c>
      <c r="Q213">
        <v>15</v>
      </c>
      <c r="R213">
        <v>0</v>
      </c>
      <c r="S213">
        <v>1</v>
      </c>
      <c r="T213">
        <v>0</v>
      </c>
      <c r="U213" t="b">
        <v>1</v>
      </c>
      <c r="V213" t="s">
        <v>188</v>
      </c>
      <c r="W213" t="s">
        <v>408</v>
      </c>
      <c r="X213" t="s">
        <v>1117</v>
      </c>
      <c r="Y213">
        <v>32</v>
      </c>
      <c r="Z213">
        <v>32</v>
      </c>
      <c r="AA213">
        <v>10</v>
      </c>
      <c r="AB213">
        <v>10</v>
      </c>
      <c r="AC213">
        <v>6</v>
      </c>
    </row>
    <row r="214" spans="1:29">
      <c r="A214">
        <v>244</v>
      </c>
      <c r="B214" t="s">
        <v>635</v>
      </c>
      <c r="C214" t="s">
        <v>960</v>
      </c>
      <c r="G214" t="s">
        <v>961</v>
      </c>
      <c r="I214" t="s">
        <v>1140</v>
      </c>
      <c r="J214" t="s">
        <v>578</v>
      </c>
      <c r="K214">
        <v>0</v>
      </c>
      <c r="N214" t="b">
        <v>0</v>
      </c>
      <c r="O214" t="b">
        <v>1</v>
      </c>
      <c r="P214" t="b">
        <v>0</v>
      </c>
      <c r="Q214">
        <v>15</v>
      </c>
      <c r="R214">
        <v>0</v>
      </c>
      <c r="S214">
        <v>1</v>
      </c>
      <c r="T214">
        <v>0</v>
      </c>
      <c r="U214" t="b">
        <v>1</v>
      </c>
      <c r="V214" t="s">
        <v>188</v>
      </c>
      <c r="W214" t="s">
        <v>408</v>
      </c>
      <c r="X214" t="s">
        <v>1118</v>
      </c>
      <c r="Y214">
        <v>33</v>
      </c>
      <c r="Z214">
        <v>33</v>
      </c>
      <c r="AA214">
        <v>10</v>
      </c>
      <c r="AB214">
        <v>10</v>
      </c>
      <c r="AC214">
        <v>6</v>
      </c>
    </row>
    <row r="215" spans="1:29">
      <c r="A215">
        <v>245</v>
      </c>
      <c r="B215" t="s">
        <v>635</v>
      </c>
      <c r="C215" t="s">
        <v>962</v>
      </c>
      <c r="G215" t="s">
        <v>963</v>
      </c>
      <c r="I215" t="s">
        <v>1140</v>
      </c>
      <c r="J215" t="s">
        <v>578</v>
      </c>
      <c r="K215">
        <v>0</v>
      </c>
      <c r="N215" t="b">
        <v>0</v>
      </c>
      <c r="O215" t="b">
        <v>1</v>
      </c>
      <c r="P215" t="b">
        <v>0</v>
      </c>
      <c r="Q215">
        <v>15</v>
      </c>
      <c r="R215">
        <v>0</v>
      </c>
      <c r="S215">
        <v>1</v>
      </c>
      <c r="T215">
        <v>0</v>
      </c>
      <c r="U215" t="b">
        <v>1</v>
      </c>
      <c r="V215" t="s">
        <v>188</v>
      </c>
      <c r="W215" t="s">
        <v>408</v>
      </c>
      <c r="X215" t="s">
        <v>1119</v>
      </c>
      <c r="Y215">
        <v>38</v>
      </c>
      <c r="Z215">
        <v>38</v>
      </c>
      <c r="AA215">
        <v>10</v>
      </c>
      <c r="AB215">
        <v>10</v>
      </c>
      <c r="AC215">
        <v>6</v>
      </c>
    </row>
    <row r="216" spans="1:29">
      <c r="A216">
        <v>246</v>
      </c>
      <c r="B216" t="s">
        <v>635</v>
      </c>
      <c r="C216" t="s">
        <v>964</v>
      </c>
      <c r="G216" t="s">
        <v>965</v>
      </c>
      <c r="I216" t="s">
        <v>1140</v>
      </c>
      <c r="J216" t="s">
        <v>578</v>
      </c>
      <c r="K216">
        <v>0</v>
      </c>
      <c r="N216" t="b">
        <v>0</v>
      </c>
      <c r="O216" t="b">
        <v>1</v>
      </c>
      <c r="P216" t="b">
        <v>0</v>
      </c>
      <c r="Q216">
        <v>15</v>
      </c>
      <c r="R216">
        <v>0</v>
      </c>
      <c r="S216">
        <v>1</v>
      </c>
      <c r="T216">
        <v>0</v>
      </c>
      <c r="U216" t="b">
        <v>1</v>
      </c>
      <c r="V216" t="s">
        <v>188</v>
      </c>
      <c r="W216" t="s">
        <v>408</v>
      </c>
      <c r="X216" t="s">
        <v>1120</v>
      </c>
      <c r="Y216">
        <v>39</v>
      </c>
      <c r="Z216">
        <v>39</v>
      </c>
      <c r="AA216">
        <v>10</v>
      </c>
      <c r="AB216">
        <v>10</v>
      </c>
      <c r="AC216">
        <v>6</v>
      </c>
    </row>
    <row r="217" spans="1:29">
      <c r="A217">
        <v>247</v>
      </c>
      <c r="B217" t="s">
        <v>635</v>
      </c>
      <c r="C217" t="s">
        <v>966</v>
      </c>
      <c r="G217" t="s">
        <v>967</v>
      </c>
      <c r="I217" t="s">
        <v>1140</v>
      </c>
      <c r="J217" t="s">
        <v>600</v>
      </c>
      <c r="K217">
        <v>0</v>
      </c>
      <c r="N217" t="b">
        <v>0</v>
      </c>
      <c r="O217" t="b">
        <v>1</v>
      </c>
      <c r="P217" t="b">
        <v>0</v>
      </c>
      <c r="Q217">
        <v>15</v>
      </c>
      <c r="R217">
        <v>0</v>
      </c>
      <c r="S217">
        <v>1</v>
      </c>
      <c r="T217">
        <v>0</v>
      </c>
      <c r="U217" t="b">
        <v>1</v>
      </c>
      <c r="V217" t="s">
        <v>188</v>
      </c>
      <c r="W217" t="s">
        <v>408</v>
      </c>
      <c r="X217" t="s">
        <v>1121</v>
      </c>
      <c r="Y217">
        <v>40</v>
      </c>
      <c r="Z217">
        <v>40</v>
      </c>
      <c r="AA217">
        <v>10</v>
      </c>
      <c r="AB217">
        <v>10</v>
      </c>
      <c r="AC217">
        <v>6</v>
      </c>
    </row>
    <row r="218" spans="1:29">
      <c r="A218">
        <v>248</v>
      </c>
      <c r="B218" t="s">
        <v>635</v>
      </c>
      <c r="C218" t="s">
        <v>968</v>
      </c>
      <c r="G218" t="s">
        <v>969</v>
      </c>
      <c r="I218" t="s">
        <v>1135</v>
      </c>
      <c r="J218" t="s">
        <v>618</v>
      </c>
      <c r="K218">
        <v>0</v>
      </c>
      <c r="N218" t="b">
        <v>1</v>
      </c>
      <c r="O218" t="b">
        <v>0</v>
      </c>
      <c r="P218" t="b">
        <v>0</v>
      </c>
      <c r="Q218">
        <v>15</v>
      </c>
      <c r="R218">
        <v>0</v>
      </c>
      <c r="S218">
        <v>1</v>
      </c>
      <c r="T218">
        <v>0</v>
      </c>
      <c r="U218" t="b">
        <v>1</v>
      </c>
      <c r="V218" t="s">
        <v>188</v>
      </c>
      <c r="W218" t="s">
        <v>408</v>
      </c>
      <c r="X218" t="s">
        <v>1122</v>
      </c>
      <c r="Y218">
        <v>47</v>
      </c>
      <c r="Z218">
        <v>47</v>
      </c>
      <c r="AA218">
        <v>10</v>
      </c>
      <c r="AB218">
        <v>10</v>
      </c>
      <c r="AC218">
        <v>6</v>
      </c>
    </row>
    <row r="219" spans="1:29">
      <c r="A219">
        <v>249</v>
      </c>
      <c r="B219" t="s">
        <v>635</v>
      </c>
      <c r="C219" t="s">
        <v>970</v>
      </c>
      <c r="G219" t="s">
        <v>971</v>
      </c>
      <c r="J219" t="s">
        <v>578</v>
      </c>
      <c r="K219">
        <v>0</v>
      </c>
      <c r="N219" t="b">
        <v>1</v>
      </c>
      <c r="O219" t="b">
        <v>0</v>
      </c>
      <c r="P219" t="b">
        <v>0</v>
      </c>
      <c r="Q219">
        <v>15</v>
      </c>
      <c r="R219">
        <v>0</v>
      </c>
      <c r="S219">
        <v>1</v>
      </c>
      <c r="T219">
        <v>2</v>
      </c>
      <c r="U219" t="b">
        <v>1</v>
      </c>
      <c r="V219" t="s">
        <v>188</v>
      </c>
      <c r="W219" t="s">
        <v>408</v>
      </c>
      <c r="X219" t="s">
        <v>1123</v>
      </c>
      <c r="Y219">
        <v>54</v>
      </c>
      <c r="Z219">
        <v>54</v>
      </c>
      <c r="AA219">
        <v>2</v>
      </c>
      <c r="AB219">
        <v>2</v>
      </c>
      <c r="AC219">
        <v>6</v>
      </c>
    </row>
    <row r="220" spans="1:29">
      <c r="A220">
        <v>250</v>
      </c>
      <c r="B220" t="s">
        <v>635</v>
      </c>
      <c r="C220" t="s">
        <v>972</v>
      </c>
      <c r="G220" t="s">
        <v>973</v>
      </c>
      <c r="J220" t="s">
        <v>578</v>
      </c>
      <c r="K220">
        <v>0</v>
      </c>
      <c r="N220" t="b">
        <v>1</v>
      </c>
      <c r="O220" t="b">
        <v>0</v>
      </c>
      <c r="P220" t="b">
        <v>0</v>
      </c>
      <c r="Q220">
        <v>15</v>
      </c>
      <c r="R220">
        <v>0</v>
      </c>
      <c r="S220">
        <v>1</v>
      </c>
      <c r="T220">
        <v>2</v>
      </c>
      <c r="U220" t="b">
        <v>1</v>
      </c>
      <c r="V220" t="s">
        <v>188</v>
      </c>
      <c r="W220" t="s">
        <v>408</v>
      </c>
      <c r="X220" t="s">
        <v>1124</v>
      </c>
      <c r="Y220">
        <v>55</v>
      </c>
      <c r="Z220">
        <v>55</v>
      </c>
      <c r="AA220">
        <v>2</v>
      </c>
      <c r="AB220">
        <v>2</v>
      </c>
      <c r="AC220">
        <v>6</v>
      </c>
    </row>
    <row r="221" spans="1:29">
      <c r="A221">
        <v>251</v>
      </c>
      <c r="B221" t="s">
        <v>635</v>
      </c>
      <c r="C221" t="s">
        <v>974</v>
      </c>
      <c r="G221" t="s">
        <v>975</v>
      </c>
      <c r="I221" t="s">
        <v>1141</v>
      </c>
      <c r="J221" t="s">
        <v>618</v>
      </c>
      <c r="K221">
        <v>0</v>
      </c>
      <c r="N221" t="b">
        <v>1</v>
      </c>
      <c r="O221" t="b">
        <v>0</v>
      </c>
      <c r="P221" t="b">
        <v>0</v>
      </c>
      <c r="Q221">
        <v>15</v>
      </c>
      <c r="R221">
        <v>0</v>
      </c>
      <c r="S221">
        <v>1</v>
      </c>
      <c r="T221">
        <v>0</v>
      </c>
      <c r="U221" t="b">
        <v>1</v>
      </c>
      <c r="V221" t="s">
        <v>188</v>
      </c>
      <c r="W221" t="s">
        <v>408</v>
      </c>
      <c r="X221" t="s">
        <v>1125</v>
      </c>
      <c r="Y221">
        <v>57</v>
      </c>
      <c r="Z221">
        <v>57</v>
      </c>
      <c r="AA221">
        <v>10</v>
      </c>
      <c r="AB221">
        <v>10</v>
      </c>
      <c r="AC221">
        <v>6</v>
      </c>
    </row>
    <row r="222" spans="1:29">
      <c r="A222">
        <v>252</v>
      </c>
      <c r="B222" t="s">
        <v>635</v>
      </c>
      <c r="C222" t="s">
        <v>976</v>
      </c>
      <c r="G222" t="s">
        <v>977</v>
      </c>
      <c r="I222" t="s">
        <v>1141</v>
      </c>
      <c r="J222" t="s">
        <v>618</v>
      </c>
      <c r="K222">
        <v>0</v>
      </c>
      <c r="N222" t="b">
        <v>1</v>
      </c>
      <c r="O222" t="b">
        <v>0</v>
      </c>
      <c r="P222" t="b">
        <v>0</v>
      </c>
      <c r="Q222">
        <v>15</v>
      </c>
      <c r="R222">
        <v>0</v>
      </c>
      <c r="S222">
        <v>1</v>
      </c>
      <c r="T222">
        <v>0</v>
      </c>
      <c r="U222" t="b">
        <v>1</v>
      </c>
      <c r="V222" t="s">
        <v>188</v>
      </c>
      <c r="W222" t="s">
        <v>408</v>
      </c>
      <c r="X222" t="s">
        <v>1126</v>
      </c>
      <c r="Y222">
        <v>60</v>
      </c>
      <c r="Z222">
        <v>60</v>
      </c>
      <c r="AA222">
        <v>10</v>
      </c>
      <c r="AB222">
        <v>10</v>
      </c>
      <c r="AC222">
        <v>6</v>
      </c>
    </row>
    <row r="223" spans="1:29">
      <c r="A223">
        <v>253</v>
      </c>
      <c r="B223" t="s">
        <v>635</v>
      </c>
      <c r="C223" t="s">
        <v>978</v>
      </c>
      <c r="G223" t="s">
        <v>979</v>
      </c>
      <c r="I223" t="s">
        <v>1141</v>
      </c>
      <c r="J223" t="s">
        <v>618</v>
      </c>
      <c r="K223">
        <v>0</v>
      </c>
      <c r="N223" t="b">
        <v>1</v>
      </c>
      <c r="O223" t="b">
        <v>0</v>
      </c>
      <c r="P223" t="b">
        <v>0</v>
      </c>
      <c r="Q223">
        <v>15</v>
      </c>
      <c r="R223">
        <v>0</v>
      </c>
      <c r="S223">
        <v>1</v>
      </c>
      <c r="T223">
        <v>0</v>
      </c>
      <c r="U223" t="b">
        <v>1</v>
      </c>
      <c r="V223" t="s">
        <v>188</v>
      </c>
      <c r="W223" t="s">
        <v>408</v>
      </c>
      <c r="X223" t="s">
        <v>1127</v>
      </c>
      <c r="Y223">
        <v>64</v>
      </c>
      <c r="Z223">
        <v>64</v>
      </c>
      <c r="AA223">
        <v>10</v>
      </c>
      <c r="AB223">
        <v>10</v>
      </c>
      <c r="AC223">
        <v>6</v>
      </c>
    </row>
    <row r="224" spans="1:29">
      <c r="A224">
        <v>254</v>
      </c>
      <c r="B224" t="s">
        <v>635</v>
      </c>
      <c r="C224" t="s">
        <v>980</v>
      </c>
      <c r="G224" t="s">
        <v>981</v>
      </c>
      <c r="I224" t="s">
        <v>1141</v>
      </c>
      <c r="J224" t="s">
        <v>580</v>
      </c>
      <c r="K224">
        <v>0</v>
      </c>
      <c r="N224" t="b">
        <v>1</v>
      </c>
      <c r="O224" t="b">
        <v>0</v>
      </c>
      <c r="P224" t="b">
        <v>0</v>
      </c>
      <c r="Q224">
        <v>15</v>
      </c>
      <c r="R224">
        <v>0</v>
      </c>
      <c r="S224">
        <v>1</v>
      </c>
      <c r="T224">
        <v>0</v>
      </c>
      <c r="U224" t="b">
        <v>1</v>
      </c>
      <c r="V224" t="s">
        <v>188</v>
      </c>
      <c r="W224" t="s">
        <v>408</v>
      </c>
      <c r="X224" t="s">
        <v>1128</v>
      </c>
      <c r="Y224">
        <v>66</v>
      </c>
      <c r="Z224">
        <v>66</v>
      </c>
      <c r="AA224">
        <v>10</v>
      </c>
      <c r="AB224">
        <v>10</v>
      </c>
      <c r="AC224">
        <v>6</v>
      </c>
    </row>
    <row r="225" spans="1:29">
      <c r="A225">
        <v>255</v>
      </c>
      <c r="B225" t="s">
        <v>635</v>
      </c>
      <c r="C225" t="s">
        <v>982</v>
      </c>
      <c r="G225" t="s">
        <v>734</v>
      </c>
      <c r="J225" t="s">
        <v>578</v>
      </c>
      <c r="K225">
        <v>0</v>
      </c>
      <c r="N225" t="b">
        <v>1</v>
      </c>
      <c r="O225" t="b">
        <v>0</v>
      </c>
      <c r="P225" t="b">
        <v>0</v>
      </c>
      <c r="Q225">
        <v>15</v>
      </c>
      <c r="R225">
        <v>0</v>
      </c>
      <c r="S225">
        <v>1</v>
      </c>
      <c r="T225">
        <v>3</v>
      </c>
      <c r="U225" t="b">
        <v>1</v>
      </c>
      <c r="V225" t="s">
        <v>188</v>
      </c>
      <c r="W225" t="s">
        <v>408</v>
      </c>
      <c r="X225" t="s">
        <v>1129</v>
      </c>
      <c r="Y225">
        <v>79</v>
      </c>
      <c r="Z225">
        <v>79</v>
      </c>
      <c r="AA225">
        <v>2</v>
      </c>
      <c r="AB225">
        <v>2</v>
      </c>
      <c r="AC225">
        <v>6</v>
      </c>
    </row>
    <row r="226" spans="1:29">
      <c r="A226">
        <v>256</v>
      </c>
      <c r="B226" t="s">
        <v>635</v>
      </c>
      <c r="C226" t="s">
        <v>983</v>
      </c>
      <c r="G226" t="s">
        <v>734</v>
      </c>
      <c r="J226" t="s">
        <v>578</v>
      </c>
      <c r="K226">
        <v>0</v>
      </c>
      <c r="N226" t="b">
        <v>1</v>
      </c>
      <c r="O226" t="b">
        <v>0</v>
      </c>
      <c r="P226" t="b">
        <v>0</v>
      </c>
      <c r="Q226">
        <v>15</v>
      </c>
      <c r="R226">
        <v>0</v>
      </c>
      <c r="S226">
        <v>1</v>
      </c>
      <c r="T226">
        <v>7</v>
      </c>
      <c r="U226" t="b">
        <v>1</v>
      </c>
      <c r="V226" t="s">
        <v>188</v>
      </c>
      <c r="W226" t="s">
        <v>408</v>
      </c>
      <c r="X226" t="s">
        <v>1130</v>
      </c>
      <c r="Y226">
        <v>83</v>
      </c>
      <c r="Z226">
        <v>83</v>
      </c>
      <c r="AA226">
        <v>2</v>
      </c>
      <c r="AB226">
        <v>2</v>
      </c>
      <c r="AC226">
        <v>6</v>
      </c>
    </row>
    <row r="227" spans="1:29">
      <c r="A227">
        <v>257</v>
      </c>
      <c r="B227" t="s">
        <v>635</v>
      </c>
      <c r="C227" t="s">
        <v>984</v>
      </c>
      <c r="G227" t="s">
        <v>734</v>
      </c>
      <c r="J227" t="s">
        <v>578</v>
      </c>
      <c r="K227">
        <v>0</v>
      </c>
      <c r="N227" t="b">
        <v>1</v>
      </c>
      <c r="O227" t="b">
        <v>0</v>
      </c>
      <c r="P227" t="b">
        <v>0</v>
      </c>
      <c r="Q227">
        <v>15</v>
      </c>
      <c r="R227">
        <v>0</v>
      </c>
      <c r="S227">
        <v>1</v>
      </c>
      <c r="T227">
        <v>11</v>
      </c>
      <c r="U227" t="b">
        <v>1</v>
      </c>
      <c r="V227" t="s">
        <v>188</v>
      </c>
      <c r="W227" t="s">
        <v>408</v>
      </c>
      <c r="X227" t="s">
        <v>1131</v>
      </c>
      <c r="Y227">
        <v>87</v>
      </c>
      <c r="Z227">
        <v>87</v>
      </c>
      <c r="AA227">
        <v>2</v>
      </c>
      <c r="AB227">
        <v>2</v>
      </c>
      <c r="AC227">
        <v>6</v>
      </c>
    </row>
    <row r="228" spans="1:29">
      <c r="A228">
        <v>258</v>
      </c>
      <c r="B228" t="s">
        <v>635</v>
      </c>
      <c r="C228" t="s">
        <v>985</v>
      </c>
      <c r="G228" t="s">
        <v>734</v>
      </c>
      <c r="J228" t="s">
        <v>580</v>
      </c>
      <c r="K228">
        <v>0</v>
      </c>
      <c r="N228" t="b">
        <v>1</v>
      </c>
      <c r="O228" t="b">
        <v>0</v>
      </c>
      <c r="P228" t="b">
        <v>0</v>
      </c>
      <c r="Q228">
        <v>15</v>
      </c>
      <c r="R228">
        <v>0</v>
      </c>
      <c r="S228">
        <v>1</v>
      </c>
      <c r="T228">
        <v>3</v>
      </c>
      <c r="U228" t="b">
        <v>1</v>
      </c>
      <c r="V228" t="s">
        <v>188</v>
      </c>
      <c r="W228" t="s">
        <v>408</v>
      </c>
      <c r="X228" t="s">
        <v>1132</v>
      </c>
      <c r="Y228">
        <v>79</v>
      </c>
      <c r="Z228">
        <v>79</v>
      </c>
      <c r="AA228">
        <v>7</v>
      </c>
      <c r="AB228">
        <v>7</v>
      </c>
      <c r="AC228">
        <v>6</v>
      </c>
    </row>
    <row r="229" spans="1:29">
      <c r="A229">
        <v>259</v>
      </c>
      <c r="B229" t="s">
        <v>633</v>
      </c>
      <c r="C229" t="s">
        <v>1133</v>
      </c>
      <c r="U229" t="b">
        <v>1</v>
      </c>
      <c r="V229" t="s">
        <v>412</v>
      </c>
      <c r="W229" t="s">
        <v>413</v>
      </c>
      <c r="X229" t="s">
        <v>1030</v>
      </c>
      <c r="Y229">
        <v>21</v>
      </c>
      <c r="Z229">
        <v>28</v>
      </c>
      <c r="AA229">
        <v>5</v>
      </c>
      <c r="AB229">
        <v>5</v>
      </c>
      <c r="AC229">
        <v>12</v>
      </c>
    </row>
    <row r="230" spans="1:29">
      <c r="A230">
        <v>260</v>
      </c>
      <c r="B230" t="s">
        <v>635</v>
      </c>
      <c r="C230" t="s">
        <v>1182</v>
      </c>
      <c r="G230" t="s">
        <v>1183</v>
      </c>
      <c r="I230" t="s">
        <v>734</v>
      </c>
      <c r="J230" t="s">
        <v>586</v>
      </c>
      <c r="K230">
        <v>0</v>
      </c>
      <c r="N230" t="b">
        <v>1</v>
      </c>
      <c r="O230" t="b">
        <v>0</v>
      </c>
      <c r="P230" t="b">
        <v>0</v>
      </c>
      <c r="Q230">
        <v>17</v>
      </c>
      <c r="R230">
        <v>0</v>
      </c>
      <c r="S230">
        <v>1</v>
      </c>
      <c r="T230">
        <v>0</v>
      </c>
      <c r="U230" t="b">
        <v>1</v>
      </c>
      <c r="V230" t="s">
        <v>410</v>
      </c>
      <c r="W230" t="s">
        <v>411</v>
      </c>
      <c r="X230" t="s">
        <v>1230</v>
      </c>
      <c r="Y230">
        <v>76</v>
      </c>
      <c r="Z230">
        <v>76</v>
      </c>
      <c r="AA230">
        <v>9</v>
      </c>
      <c r="AB230">
        <v>9</v>
      </c>
      <c r="AC230">
        <v>8</v>
      </c>
    </row>
    <row r="231" spans="1:29">
      <c r="A231">
        <v>261</v>
      </c>
      <c r="B231" t="s">
        <v>635</v>
      </c>
      <c r="C231" t="s">
        <v>1185</v>
      </c>
      <c r="G231" t="s">
        <v>1186</v>
      </c>
      <c r="I231" t="s">
        <v>734</v>
      </c>
      <c r="J231" t="s">
        <v>586</v>
      </c>
      <c r="K231">
        <v>0</v>
      </c>
      <c r="N231" t="b">
        <v>1</v>
      </c>
      <c r="O231" t="b">
        <v>0</v>
      </c>
      <c r="P231" t="b">
        <v>0</v>
      </c>
      <c r="Q231">
        <v>17</v>
      </c>
      <c r="R231">
        <v>0</v>
      </c>
      <c r="S231">
        <v>1</v>
      </c>
      <c r="T231">
        <v>0</v>
      </c>
      <c r="U231" t="b">
        <v>1</v>
      </c>
      <c r="V231" t="s">
        <v>410</v>
      </c>
      <c r="W231" t="s">
        <v>411</v>
      </c>
      <c r="X231" t="s">
        <v>1231</v>
      </c>
      <c r="Y231">
        <v>79</v>
      </c>
      <c r="Z231">
        <v>79</v>
      </c>
      <c r="AA231">
        <v>9</v>
      </c>
      <c r="AB231">
        <v>9</v>
      </c>
      <c r="AC231">
        <v>8</v>
      </c>
    </row>
    <row r="232" spans="1:29">
      <c r="A232">
        <v>262</v>
      </c>
      <c r="B232" t="s">
        <v>635</v>
      </c>
      <c r="C232" t="s">
        <v>1187</v>
      </c>
      <c r="G232" t="s">
        <v>1188</v>
      </c>
      <c r="I232" t="s">
        <v>734</v>
      </c>
      <c r="J232" t="s">
        <v>586</v>
      </c>
      <c r="K232">
        <v>0</v>
      </c>
      <c r="N232" t="b">
        <v>1</v>
      </c>
      <c r="O232" t="b">
        <v>0</v>
      </c>
      <c r="P232" t="b">
        <v>0</v>
      </c>
      <c r="Q232">
        <v>17</v>
      </c>
      <c r="R232">
        <v>0</v>
      </c>
      <c r="S232">
        <v>1</v>
      </c>
      <c r="T232">
        <v>0</v>
      </c>
      <c r="U232" t="b">
        <v>1</v>
      </c>
      <c r="V232" t="s">
        <v>412</v>
      </c>
      <c r="W232" t="s">
        <v>413</v>
      </c>
      <c r="X232" t="s">
        <v>1230</v>
      </c>
      <c r="Y232">
        <v>76</v>
      </c>
      <c r="Z232">
        <v>76</v>
      </c>
      <c r="AA232">
        <v>9</v>
      </c>
      <c r="AB232">
        <v>9</v>
      </c>
      <c r="AC232">
        <v>12</v>
      </c>
    </row>
    <row r="233" spans="1:29">
      <c r="A233">
        <v>263</v>
      </c>
      <c r="B233" t="s">
        <v>635</v>
      </c>
      <c r="C233" t="s">
        <v>1189</v>
      </c>
      <c r="G233" t="s">
        <v>1190</v>
      </c>
      <c r="I233" t="s">
        <v>734</v>
      </c>
      <c r="J233" t="s">
        <v>586</v>
      </c>
      <c r="K233">
        <v>0</v>
      </c>
      <c r="N233" t="b">
        <v>1</v>
      </c>
      <c r="O233" t="b">
        <v>0</v>
      </c>
      <c r="P233" t="b">
        <v>0</v>
      </c>
      <c r="Q233">
        <v>17</v>
      </c>
      <c r="R233">
        <v>0</v>
      </c>
      <c r="S233">
        <v>1</v>
      </c>
      <c r="T233">
        <v>0</v>
      </c>
      <c r="U233" t="b">
        <v>1</v>
      </c>
      <c r="V233" t="s">
        <v>412</v>
      </c>
      <c r="W233" t="s">
        <v>413</v>
      </c>
      <c r="X233" t="s">
        <v>1231</v>
      </c>
      <c r="Y233">
        <v>79</v>
      </c>
      <c r="Z233">
        <v>79</v>
      </c>
      <c r="AA233">
        <v>9</v>
      </c>
      <c r="AB233">
        <v>9</v>
      </c>
      <c r="AC233">
        <v>12</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57"/>
    <pageSetUpPr fitToPage="1"/>
  </sheetPr>
  <dimension ref="A1:P45"/>
  <sheetViews>
    <sheetView showGridLines="0" zoomScale="82" zoomScaleNormal="82" workbookViewId="0">
      <selection activeCell="E27" sqref="E27:O27"/>
    </sheetView>
  </sheetViews>
  <sheetFormatPr defaultColWidth="0" defaultRowHeight="12.5" zeroHeight="1"/>
  <cols>
    <col min="1" max="1" width="2.5" style="47" customWidth="1"/>
    <col min="2" max="2" width="9.19921875" style="47" customWidth="1"/>
    <col min="3" max="3" width="2" style="47" customWidth="1"/>
    <col min="4" max="4" width="7.5" style="48" customWidth="1"/>
    <col min="5" max="5" width="3.19921875" style="47" customWidth="1"/>
    <col min="6" max="6" width="9.69921875" style="47" bestFit="1" customWidth="1"/>
    <col min="7" max="13" width="8.796875" style="47" customWidth="1"/>
    <col min="14" max="14" width="4.69921875" style="47" customWidth="1"/>
    <col min="15" max="15" width="23.796875" style="47" customWidth="1"/>
    <col min="16" max="16" width="1" style="47" hidden="1" customWidth="1"/>
    <col min="17" max="16384" width="0" style="47" hidden="1"/>
  </cols>
  <sheetData>
    <row r="1" spans="1:15" ht="18">
      <c r="A1" s="6" t="s">
        <v>71</v>
      </c>
      <c r="J1" s="194"/>
      <c r="K1" s="195" t="s">
        <v>362</v>
      </c>
    </row>
    <row r="2" spans="1:15" ht="34.5" customHeight="1" thickBot="1">
      <c r="B2" s="383" t="s">
        <v>147</v>
      </c>
      <c r="C2" s="383"/>
      <c r="D2" s="383"/>
      <c r="E2" s="383"/>
      <c r="F2" s="383"/>
      <c r="G2" s="383"/>
      <c r="H2" s="383"/>
      <c r="I2" s="383"/>
      <c r="J2" s="383"/>
      <c r="K2" s="383"/>
      <c r="L2" s="383"/>
      <c r="M2" s="383"/>
      <c r="N2" s="383"/>
      <c r="O2" s="383"/>
    </row>
    <row r="3" spans="1:15" ht="28.5" customHeight="1" thickBot="1">
      <c r="B3" s="46" t="s">
        <v>1638</v>
      </c>
      <c r="C3" s="9"/>
      <c r="D3" s="326">
        <v>1</v>
      </c>
      <c r="E3" s="410" t="str">
        <f>CONCATENATE("Electronic copy of the DSH Survey Part I - DSH Year Data -  ", TEXT(DSH_Year_Begin,"mm/dd/yyyy"), " - ", TEXT(DSH_Year_End,"mm/dd/yyyy"))</f>
        <v>Electronic copy of the DSH Survey Part I - DSH Year Data -  07/01/2021 - 06/30/2022</v>
      </c>
      <c r="F3" s="410"/>
      <c r="G3" s="410"/>
      <c r="H3" s="410"/>
      <c r="I3" s="410"/>
      <c r="J3" s="410"/>
      <c r="K3" s="410"/>
      <c r="L3" s="410"/>
      <c r="M3" s="410"/>
      <c r="N3" s="410"/>
      <c r="O3" s="410"/>
    </row>
    <row r="4" spans="1:15" ht="36.75" customHeight="1" thickBot="1">
      <c r="B4" s="46" t="s">
        <v>1638</v>
      </c>
      <c r="C4" s="5"/>
      <c r="D4" s="326">
        <v>2</v>
      </c>
      <c r="E4" s="410" t="str">
        <f xml:space="preserve"> CONCATENATE("Electronic copy of the DSH Survey Part II - Cost Report Data - Cost Report Year ", TEXT(FYB_1,"mm/dd/yyyy"), " - ", TEXT(FYE_1,"mm/dd/yyyy"))</f>
        <v>Electronic copy of the DSH Survey Part II - Cost Report Data - Cost Report Year 07/01/2021 - 06/30/2022</v>
      </c>
      <c r="F4" s="410"/>
      <c r="G4" s="410"/>
      <c r="H4" s="410"/>
      <c r="I4" s="410"/>
      <c r="J4" s="410"/>
      <c r="K4" s="410"/>
      <c r="L4" s="410"/>
      <c r="M4" s="410"/>
      <c r="N4" s="410"/>
      <c r="O4" s="410"/>
    </row>
    <row r="5" spans="1:15" ht="36.75" customHeight="1" thickBot="1">
      <c r="B5" s="46" t="s">
        <v>1206</v>
      </c>
      <c r="C5" s="5"/>
      <c r="D5" s="326">
        <v>3</v>
      </c>
      <c r="E5" s="410" t="str">
        <f>IF(ISNUMBER('Sec. A-C DSH Year Data'!E17),CONCATENATE("Electronic copy of the DSH Survey Part II - Cost Report Data - Cost Report Year ", TEXT(FYB_2,"mm/dd/yyyy"), " - ", TEXT(FYE_2,"mm/dd/yyyy")),"N/A")</f>
        <v>N/A</v>
      </c>
      <c r="F5" s="410"/>
      <c r="G5" s="410"/>
      <c r="H5" s="410"/>
      <c r="I5" s="410"/>
      <c r="J5" s="410"/>
      <c r="K5" s="410"/>
      <c r="L5" s="410"/>
      <c r="M5" s="410"/>
      <c r="N5" s="410"/>
      <c r="O5" s="410"/>
    </row>
    <row r="6" spans="1:15" ht="36.75" customHeight="1" thickBot="1">
      <c r="B6" s="46" t="s">
        <v>1206</v>
      </c>
      <c r="C6" s="5"/>
      <c r="D6" s="326">
        <v>4</v>
      </c>
      <c r="E6" s="410" t="str">
        <f>IF(ISNUMBER('Sec. A-C DSH Year Data'!E18),CONCATENATE("Electronic copy of the DSH Survey Part II - Cost Report Data - Cost Report Year ", TEXT(FYB_3,"mm/dd/yyyy"), " - ", TEXT(FYE_3,"mm/dd/yyyy")),"N/A")</f>
        <v>N/A</v>
      </c>
      <c r="F6" s="410"/>
      <c r="G6" s="410"/>
      <c r="H6" s="410"/>
      <c r="I6" s="410"/>
      <c r="J6" s="410"/>
      <c r="K6" s="410"/>
      <c r="L6" s="410"/>
      <c r="M6" s="410"/>
      <c r="N6" s="410"/>
      <c r="O6" s="410"/>
    </row>
    <row r="7" spans="1:15" ht="15.5">
      <c r="B7" s="416" t="s">
        <v>1638</v>
      </c>
      <c r="C7" s="5"/>
      <c r="D7" s="8" t="s">
        <v>141</v>
      </c>
      <c r="E7" s="5" t="s">
        <v>73</v>
      </c>
      <c r="F7" s="5"/>
      <c r="G7" s="5"/>
      <c r="H7" s="5"/>
      <c r="I7" s="5"/>
      <c r="J7" s="5"/>
      <c r="K7" s="5"/>
      <c r="L7" s="5"/>
      <c r="M7" s="5"/>
    </row>
    <row r="8" spans="1:15" ht="37.5" customHeight="1" thickBot="1">
      <c r="B8" s="417"/>
      <c r="C8" s="5"/>
      <c r="D8" s="8"/>
      <c r="E8" s="9"/>
      <c r="F8" s="413" t="s">
        <v>140</v>
      </c>
      <c r="G8" s="413"/>
      <c r="H8" s="413"/>
      <c r="I8" s="413"/>
      <c r="J8" s="413"/>
      <c r="K8" s="413"/>
      <c r="L8" s="413"/>
      <c r="M8" s="413"/>
      <c r="N8" s="413"/>
      <c r="O8" s="413"/>
    </row>
    <row r="9" spans="1:15" ht="53.25" customHeight="1" thickBot="1">
      <c r="B9" s="279" t="s">
        <v>1638</v>
      </c>
      <c r="C9" s="5"/>
      <c r="D9" s="8" t="s">
        <v>142</v>
      </c>
      <c r="E9" s="410" t="s">
        <v>387</v>
      </c>
      <c r="F9" s="410"/>
      <c r="G9" s="410"/>
      <c r="H9" s="410"/>
      <c r="I9" s="410"/>
      <c r="J9" s="410"/>
      <c r="K9" s="410"/>
      <c r="L9" s="410"/>
      <c r="M9" s="410"/>
      <c r="N9" s="410"/>
      <c r="O9" s="410"/>
    </row>
    <row r="10" spans="1:15" ht="15.5">
      <c r="B10" s="416" t="s">
        <v>1638</v>
      </c>
      <c r="C10" s="5"/>
      <c r="D10" s="8" t="s">
        <v>143</v>
      </c>
      <c r="E10" s="5" t="s">
        <v>72</v>
      </c>
      <c r="F10" s="5"/>
      <c r="G10" s="5"/>
      <c r="H10" s="5"/>
      <c r="I10" s="5"/>
      <c r="J10" s="5"/>
      <c r="K10" s="5"/>
      <c r="L10" s="5"/>
      <c r="M10" s="5"/>
    </row>
    <row r="11" spans="1:15" ht="39" customHeight="1" thickBot="1">
      <c r="B11" s="417"/>
      <c r="C11" s="5"/>
      <c r="D11" s="8"/>
      <c r="E11" s="5"/>
      <c r="F11" s="413" t="s">
        <v>206</v>
      </c>
      <c r="G11" s="413"/>
      <c r="H11" s="413"/>
      <c r="I11" s="413"/>
      <c r="J11" s="413"/>
      <c r="K11" s="413"/>
      <c r="L11" s="413"/>
      <c r="M11" s="413"/>
      <c r="N11" s="413"/>
      <c r="O11" s="413"/>
    </row>
    <row r="12" spans="1:15" ht="55.5" customHeight="1" thickBot="1">
      <c r="B12" s="46" t="s">
        <v>1638</v>
      </c>
      <c r="C12" s="5"/>
      <c r="D12" s="8" t="s">
        <v>144</v>
      </c>
      <c r="E12" s="410" t="s">
        <v>208</v>
      </c>
      <c r="F12" s="410"/>
      <c r="G12" s="410"/>
      <c r="H12" s="410"/>
      <c r="I12" s="410"/>
      <c r="J12" s="410"/>
      <c r="K12" s="410"/>
      <c r="L12" s="410"/>
      <c r="M12" s="410"/>
      <c r="N12" s="410"/>
      <c r="O12" s="410"/>
    </row>
    <row r="13" spans="1:15" ht="51" customHeight="1">
      <c r="B13" s="416" t="s">
        <v>1638</v>
      </c>
      <c r="C13" s="5"/>
      <c r="D13" s="8" t="s">
        <v>145</v>
      </c>
      <c r="E13" s="410" t="s">
        <v>148</v>
      </c>
      <c r="F13" s="410"/>
      <c r="G13" s="410"/>
      <c r="H13" s="410"/>
      <c r="I13" s="410"/>
      <c r="J13" s="410"/>
      <c r="K13" s="410"/>
      <c r="L13" s="410"/>
      <c r="M13" s="410"/>
      <c r="N13" s="410"/>
      <c r="O13" s="410"/>
    </row>
    <row r="14" spans="1:15" ht="39" customHeight="1" thickBot="1">
      <c r="B14" s="417"/>
      <c r="C14" s="5"/>
      <c r="D14" s="8"/>
      <c r="E14" s="5"/>
      <c r="F14" s="413" t="s">
        <v>206</v>
      </c>
      <c r="G14" s="413"/>
      <c r="H14" s="413"/>
      <c r="I14" s="413"/>
      <c r="J14" s="413"/>
      <c r="K14" s="413"/>
      <c r="L14" s="413"/>
      <c r="M14" s="413"/>
      <c r="N14" s="413"/>
      <c r="O14" s="413"/>
    </row>
    <row r="15" spans="1:15" ht="58.5" customHeight="1" thickBot="1">
      <c r="B15" s="46" t="s">
        <v>1638</v>
      </c>
      <c r="C15" s="5"/>
      <c r="D15" s="8" t="s">
        <v>146</v>
      </c>
      <c r="E15" s="410" t="s">
        <v>388</v>
      </c>
      <c r="F15" s="410"/>
      <c r="G15" s="410"/>
      <c r="H15" s="410"/>
      <c r="I15" s="410"/>
      <c r="J15" s="410"/>
      <c r="K15" s="410"/>
      <c r="L15" s="410"/>
      <c r="M15" s="410"/>
      <c r="N15" s="410"/>
      <c r="O15" s="410"/>
    </row>
    <row r="16" spans="1:15" ht="38.25" customHeight="1" thickBot="1">
      <c r="B16" s="46" t="s">
        <v>1638</v>
      </c>
      <c r="C16" s="5"/>
      <c r="D16" s="326">
        <v>8</v>
      </c>
      <c r="E16" s="414" t="s">
        <v>74</v>
      </c>
      <c r="F16" s="415"/>
      <c r="G16" s="415"/>
      <c r="H16" s="415"/>
      <c r="I16" s="415"/>
      <c r="J16" s="415"/>
      <c r="K16" s="415"/>
      <c r="L16" s="415"/>
      <c r="M16" s="415"/>
      <c r="N16" s="415"/>
      <c r="O16" s="415"/>
    </row>
    <row r="17" spans="2:15" ht="40.5" customHeight="1" thickBot="1">
      <c r="B17" s="46" t="s">
        <v>1638</v>
      </c>
      <c r="C17" s="5"/>
      <c r="D17" s="326">
        <v>9</v>
      </c>
      <c r="E17" s="414" t="s">
        <v>75</v>
      </c>
      <c r="F17" s="415"/>
      <c r="G17" s="415"/>
      <c r="H17" s="415"/>
      <c r="I17" s="415"/>
      <c r="J17" s="415"/>
      <c r="K17" s="415"/>
      <c r="L17" s="415"/>
      <c r="M17" s="415"/>
      <c r="N17" s="415"/>
      <c r="O17" s="415"/>
    </row>
    <row r="18" spans="2:15" ht="36" customHeight="1" thickBot="1">
      <c r="B18" s="46" t="s">
        <v>1638</v>
      </c>
      <c r="C18" s="5"/>
      <c r="D18" s="326">
        <v>10</v>
      </c>
      <c r="E18" s="414" t="s">
        <v>76</v>
      </c>
      <c r="F18" s="415"/>
      <c r="G18" s="415"/>
      <c r="H18" s="415"/>
      <c r="I18" s="415"/>
      <c r="J18" s="415"/>
      <c r="K18" s="415"/>
      <c r="L18" s="415"/>
      <c r="M18" s="415"/>
      <c r="N18" s="415"/>
      <c r="O18" s="415"/>
    </row>
    <row r="19" spans="2:15" ht="38.25" customHeight="1" thickBot="1">
      <c r="B19" s="46" t="s">
        <v>1206</v>
      </c>
      <c r="C19" s="5"/>
      <c r="D19" s="326">
        <v>11</v>
      </c>
      <c r="E19" s="414" t="s">
        <v>79</v>
      </c>
      <c r="F19" s="415"/>
      <c r="G19" s="415"/>
      <c r="H19" s="415"/>
      <c r="I19" s="415"/>
      <c r="J19" s="415"/>
      <c r="K19" s="415"/>
      <c r="L19" s="415"/>
      <c r="M19" s="415"/>
      <c r="N19" s="415"/>
      <c r="O19" s="415"/>
    </row>
    <row r="20" spans="2:15" ht="22.5" customHeight="1">
      <c r="B20" s="416" t="s">
        <v>1638</v>
      </c>
      <c r="C20" s="9"/>
      <c r="D20" s="326">
        <v>12</v>
      </c>
      <c r="E20" s="414" t="s">
        <v>209</v>
      </c>
      <c r="F20" s="415"/>
      <c r="G20" s="415"/>
      <c r="H20" s="415"/>
      <c r="I20" s="415"/>
      <c r="J20" s="415"/>
      <c r="K20" s="415"/>
      <c r="L20" s="415"/>
      <c r="M20" s="415"/>
      <c r="N20" s="415"/>
      <c r="O20" s="415"/>
    </row>
    <row r="21" spans="2:15" ht="22.5" customHeight="1" thickBot="1">
      <c r="B21" s="417"/>
      <c r="C21" s="9"/>
      <c r="D21" s="326"/>
      <c r="F21" s="422" t="s">
        <v>207</v>
      </c>
      <c r="G21" s="422"/>
      <c r="H21" s="422"/>
      <c r="I21" s="422"/>
      <c r="J21" s="422"/>
      <c r="K21" s="422"/>
      <c r="L21" s="422"/>
      <c r="M21" s="422"/>
      <c r="N21" s="422"/>
      <c r="O21" s="422"/>
    </row>
    <row r="22" spans="2:15" ht="38.25" customHeight="1" thickBot="1">
      <c r="B22" s="46" t="s">
        <v>1638</v>
      </c>
      <c r="C22" s="9"/>
      <c r="D22" s="326">
        <v>13</v>
      </c>
      <c r="E22" s="414" t="s">
        <v>159</v>
      </c>
      <c r="F22" s="369"/>
      <c r="G22" s="369"/>
      <c r="H22" s="369"/>
      <c r="I22" s="369"/>
      <c r="J22" s="369"/>
      <c r="K22" s="369"/>
      <c r="L22" s="369"/>
      <c r="M22" s="369"/>
      <c r="N22" s="369"/>
      <c r="O22" s="369"/>
    </row>
    <row r="23" spans="2:15" ht="36.75" customHeight="1" thickBot="1">
      <c r="B23" s="46" t="s">
        <v>1638</v>
      </c>
      <c r="C23" s="9"/>
      <c r="D23" s="326">
        <v>14</v>
      </c>
      <c r="E23" s="414" t="s">
        <v>158</v>
      </c>
      <c r="F23" s="369"/>
      <c r="G23" s="369"/>
      <c r="H23" s="369"/>
      <c r="I23" s="369"/>
      <c r="J23" s="369"/>
      <c r="K23" s="369"/>
      <c r="L23" s="369"/>
      <c r="M23" s="369"/>
      <c r="N23" s="369"/>
      <c r="O23" s="369"/>
    </row>
    <row r="24" spans="2:15" ht="27" customHeight="1" thickBot="1">
      <c r="B24" s="46" t="s">
        <v>1638</v>
      </c>
      <c r="C24" s="9"/>
      <c r="D24" s="8" t="s">
        <v>1249</v>
      </c>
      <c r="E24" s="414" t="s">
        <v>80</v>
      </c>
      <c r="F24" s="369"/>
      <c r="G24" s="369"/>
      <c r="H24" s="369"/>
      <c r="I24" s="369"/>
      <c r="J24" s="369"/>
      <c r="K24" s="369"/>
      <c r="L24" s="369"/>
      <c r="M24" s="369"/>
      <c r="N24" s="369"/>
      <c r="O24" s="369"/>
    </row>
    <row r="25" spans="2:15" ht="66.75" customHeight="1" thickBot="1">
      <c r="B25" s="46" t="s">
        <v>1638</v>
      </c>
      <c r="C25" s="9"/>
      <c r="D25" s="8" t="s">
        <v>1250</v>
      </c>
      <c r="E25" s="410" t="s">
        <v>1255</v>
      </c>
      <c r="F25" s="410"/>
      <c r="G25" s="410"/>
      <c r="H25" s="410"/>
      <c r="I25" s="410"/>
      <c r="J25" s="410"/>
      <c r="K25" s="410"/>
      <c r="L25" s="410"/>
      <c r="M25" s="410"/>
      <c r="N25" s="410"/>
      <c r="O25" s="410"/>
    </row>
    <row r="26" spans="2:15" ht="27" customHeight="1" thickBot="1">
      <c r="B26" s="46" t="s">
        <v>1638</v>
      </c>
      <c r="C26" s="9"/>
      <c r="D26" s="326">
        <v>16</v>
      </c>
      <c r="E26" s="414" t="s">
        <v>210</v>
      </c>
      <c r="F26" s="369"/>
      <c r="G26" s="369"/>
      <c r="H26" s="369"/>
      <c r="I26" s="369"/>
      <c r="J26" s="369"/>
      <c r="K26" s="369"/>
      <c r="L26" s="369"/>
      <c r="M26" s="369"/>
      <c r="N26" s="369"/>
      <c r="O26" s="369"/>
    </row>
    <row r="27" spans="2:15" ht="35.25" customHeight="1" thickBot="1">
      <c r="B27" s="46" t="s">
        <v>1638</v>
      </c>
      <c r="C27" s="9"/>
      <c r="D27" s="326">
        <v>17</v>
      </c>
      <c r="E27" s="414" t="s">
        <v>211</v>
      </c>
      <c r="F27" s="415"/>
      <c r="G27" s="415"/>
      <c r="H27" s="415"/>
      <c r="I27" s="415"/>
      <c r="J27" s="415"/>
      <c r="K27" s="415"/>
      <c r="L27" s="415"/>
      <c r="M27" s="415"/>
      <c r="N27" s="415"/>
      <c r="O27" s="415"/>
    </row>
    <row r="28" spans="2:15" ht="35.25" customHeight="1" thickBot="1">
      <c r="B28" s="46" t="s">
        <v>1638</v>
      </c>
      <c r="C28" s="9"/>
      <c r="D28" s="326">
        <v>18</v>
      </c>
      <c r="E28" s="414" t="s">
        <v>212</v>
      </c>
      <c r="F28" s="415"/>
      <c r="G28" s="415"/>
      <c r="H28" s="415"/>
      <c r="I28" s="415"/>
      <c r="J28" s="415"/>
      <c r="K28" s="415"/>
      <c r="L28" s="415"/>
      <c r="M28" s="415"/>
      <c r="N28" s="415"/>
      <c r="O28" s="415"/>
    </row>
    <row r="29" spans="2:15" ht="6" customHeight="1">
      <c r="B29" s="45"/>
      <c r="C29" s="9"/>
      <c r="D29" s="8"/>
      <c r="E29" s="44"/>
      <c r="F29" s="10"/>
      <c r="G29" s="10"/>
      <c r="H29" s="10"/>
      <c r="I29" s="10"/>
      <c r="J29" s="10"/>
      <c r="K29" s="10"/>
      <c r="L29" s="10"/>
      <c r="M29" s="10"/>
      <c r="N29" s="10"/>
      <c r="O29" s="10"/>
    </row>
    <row r="30" spans="2:15">
      <c r="B30" s="10"/>
      <c r="C30" s="10"/>
      <c r="D30" s="10"/>
      <c r="E30" s="10"/>
      <c r="F30" s="10"/>
      <c r="G30" s="10"/>
      <c r="H30" s="10"/>
      <c r="I30" s="10"/>
      <c r="J30" s="10"/>
      <c r="K30" s="10"/>
      <c r="L30" s="10"/>
      <c r="M30" s="10"/>
      <c r="N30" s="10"/>
      <c r="O30" s="10"/>
    </row>
    <row r="31" spans="2:15" ht="54" customHeight="1">
      <c r="B31" s="10"/>
      <c r="C31" s="10"/>
      <c r="D31" s="10"/>
      <c r="E31" s="411" t="s">
        <v>205</v>
      </c>
      <c r="F31" s="412"/>
      <c r="G31" s="412"/>
      <c r="H31" s="412"/>
      <c r="I31" s="412"/>
      <c r="J31" s="412"/>
      <c r="K31" s="412"/>
      <c r="L31" s="412"/>
      <c r="M31" s="412"/>
      <c r="N31" s="412"/>
      <c r="O31" s="10"/>
    </row>
    <row r="32" spans="2:15" ht="24" customHeight="1">
      <c r="B32" s="10"/>
      <c r="C32" s="10"/>
      <c r="D32" s="10"/>
      <c r="E32" s="418" t="s">
        <v>204</v>
      </c>
      <c r="F32" s="419"/>
      <c r="G32" s="419"/>
      <c r="H32" s="419"/>
      <c r="I32" s="419"/>
      <c r="J32" s="419"/>
      <c r="K32" s="419"/>
      <c r="L32" s="419"/>
      <c r="M32" s="419"/>
      <c r="N32" s="419"/>
      <c r="O32" s="10"/>
    </row>
    <row r="33" spans="5:15" ht="45" customHeight="1">
      <c r="E33" s="420" t="s">
        <v>386</v>
      </c>
      <c r="F33" s="412"/>
      <c r="G33" s="412"/>
      <c r="H33" s="412"/>
      <c r="I33" s="412"/>
      <c r="J33" s="412"/>
      <c r="K33" s="412"/>
      <c r="L33" s="412"/>
      <c r="M33" s="412"/>
      <c r="N33" s="412"/>
    </row>
    <row r="34" spans="5:15" ht="19.5" customHeight="1">
      <c r="E34" s="51"/>
      <c r="F34" s="5"/>
      <c r="G34" s="52"/>
      <c r="H34" s="160" t="str">
        <f>'Survey Set-Up'!B7</f>
        <v>Myers and Stauffer LC</v>
      </c>
      <c r="I34" s="5"/>
      <c r="J34" s="5"/>
      <c r="K34" s="5"/>
      <c r="L34" s="5"/>
      <c r="M34" s="5"/>
      <c r="N34" s="5"/>
    </row>
    <row r="35" spans="5:15" ht="18" customHeight="1">
      <c r="E35" s="51"/>
      <c r="F35" s="5"/>
      <c r="G35" s="52"/>
      <c r="H35" s="7" t="str">
        <f>'Survey Set-Up'!B8</f>
        <v>ATTN:  DSH Examinations</v>
      </c>
      <c r="I35" s="5"/>
      <c r="J35" s="5"/>
      <c r="K35" s="5"/>
      <c r="L35" s="5"/>
      <c r="M35" s="5"/>
      <c r="N35" s="5"/>
    </row>
    <row r="36" spans="5:15" ht="16.149999999999999" customHeight="1">
      <c r="E36" s="51"/>
      <c r="F36" s="5"/>
      <c r="G36" s="52"/>
      <c r="H36" s="7" t="str">
        <f>'Survey Set-Up'!B9</f>
        <v>700 W. 47th Street, Suite 1100</v>
      </c>
      <c r="I36" s="5"/>
      <c r="J36" s="5"/>
      <c r="K36" s="5"/>
      <c r="L36" s="5"/>
      <c r="M36" s="5"/>
      <c r="N36" s="5"/>
    </row>
    <row r="37" spans="5:15" ht="17.5" customHeight="1">
      <c r="E37" s="51"/>
      <c r="F37" s="5"/>
      <c r="G37" s="52"/>
      <c r="H37" s="7" t="str">
        <f>'Survey Set-Up'!B10</f>
        <v>Kansas City, Missouri 64112</v>
      </c>
      <c r="I37" s="5"/>
      <c r="J37" s="5"/>
      <c r="K37" s="5"/>
      <c r="L37" s="5"/>
      <c r="M37" s="5"/>
      <c r="N37" s="5"/>
    </row>
    <row r="38" spans="5:15" ht="18" customHeight="1">
      <c r="E38" s="51"/>
      <c r="F38" s="5"/>
      <c r="G38" s="52"/>
      <c r="H38" s="7" t="str">
        <f>'Survey Set-Up'!B11</f>
        <v>Fax: (816) 945-5301</v>
      </c>
      <c r="I38" s="5"/>
      <c r="J38" s="5"/>
      <c r="K38" s="5"/>
      <c r="L38" s="5"/>
      <c r="M38" s="5"/>
      <c r="N38" s="5"/>
    </row>
    <row r="39" spans="5:15" ht="16.899999999999999" customHeight="1">
      <c r="E39" s="51"/>
      <c r="F39" s="5"/>
      <c r="G39" s="52"/>
      <c r="H39" s="7" t="str">
        <f>'Survey Set-Up'!B12</f>
        <v>Phone: (800) 374-6858</v>
      </c>
      <c r="I39" s="5"/>
      <c r="J39" s="5"/>
      <c r="K39" s="5"/>
      <c r="L39" s="5"/>
      <c r="M39" s="5"/>
      <c r="N39" s="5"/>
    </row>
    <row r="40" spans="5:15" ht="15.5">
      <c r="H40" s="7" t="str">
        <f>'Survey Set-Up'!B13</f>
        <v>E-Mail: GADSH@mslc.com</v>
      </c>
    </row>
    <row r="41" spans="5:15" ht="46.5" customHeight="1">
      <c r="E41" s="420" t="s">
        <v>149</v>
      </c>
      <c r="F41" s="420"/>
      <c r="G41" s="420"/>
      <c r="H41" s="421"/>
      <c r="I41" s="421"/>
      <c r="J41" s="421"/>
      <c r="K41" s="421"/>
      <c r="L41" s="421"/>
      <c r="M41" s="421"/>
      <c r="N41" s="421"/>
      <c r="O41" s="412"/>
    </row>
    <row r="42" spans="5:15"/>
    <row r="43" spans="5:15"/>
    <row r="44" spans="5:15"/>
    <row r="45" spans="5:15"/>
  </sheetData>
  <sheetProtection algorithmName="SHA-512" hashValue="EXeBUectGk+dEef19sefJi8wHuQwP7f8e31V4XqCRotqo50bIY7wInrtzDiE65ozZT6BDy1WZYODDExJYKFSQw==" saltValue="qTdApFTwPryBbaIHLwmVQw==" spinCount="100000" sheet="1" objects="1" scenarios="1"/>
  <mergeCells count="33">
    <mergeCell ref="E41:O41"/>
    <mergeCell ref="E19:O19"/>
    <mergeCell ref="E33:N33"/>
    <mergeCell ref="E17:O17"/>
    <mergeCell ref="E24:O24"/>
    <mergeCell ref="E22:O22"/>
    <mergeCell ref="E23:O23"/>
    <mergeCell ref="E26:O26"/>
    <mergeCell ref="E25:O25"/>
    <mergeCell ref="E18:O18"/>
    <mergeCell ref="E20:O20"/>
    <mergeCell ref="F21:O21"/>
    <mergeCell ref="E16:O16"/>
    <mergeCell ref="E32:N32"/>
    <mergeCell ref="F8:O8"/>
    <mergeCell ref="F14:O14"/>
    <mergeCell ref="E13:O13"/>
    <mergeCell ref="E3:O3"/>
    <mergeCell ref="E31:N31"/>
    <mergeCell ref="F11:O11"/>
    <mergeCell ref="E28:O28"/>
    <mergeCell ref="B2:O2"/>
    <mergeCell ref="E27:O27"/>
    <mergeCell ref="E9:O9"/>
    <mergeCell ref="E12:O12"/>
    <mergeCell ref="E15:O15"/>
    <mergeCell ref="B7:B8"/>
    <mergeCell ref="B10:B11"/>
    <mergeCell ref="B13:B14"/>
    <mergeCell ref="B20:B21"/>
    <mergeCell ref="E4:O4"/>
    <mergeCell ref="E5:O5"/>
    <mergeCell ref="E6:O6"/>
  </mergeCells>
  <phoneticPr fontId="0" type="noConversion"/>
  <conditionalFormatting sqref="B3:B4 B7:B8 B10:B11 B23 B26">
    <cfRule type="expression" dxfId="11" priority="1">
      <formula>AND(State = "Louisiana", Louisiana_Pool = "Act 540")</formula>
    </cfRule>
  </conditionalFormatting>
  <conditionalFormatting sqref="E31:N32">
    <cfRule type="expression" dxfId="10" priority="5">
      <formula>WebPortal="No"</formula>
    </cfRule>
  </conditionalFormatting>
  <conditionalFormatting sqref="J1:O1">
    <cfRule type="expression" dxfId="9" priority="3">
      <formula>OR(State&lt;&gt;"Louisiana",Louisiana_Pool&lt;&gt;"Act 540")</formula>
    </cfRule>
  </conditionalFormatting>
  <dataValidations count="1">
    <dataValidation type="list" allowBlank="1" showInputMessage="1" showErrorMessage="1" sqref="B3:B28" xr:uid="{00000000-0002-0000-0900-000000000000}">
      <formula1>"X,N/A"</formula1>
    </dataValidation>
  </dataValidations>
  <pageMargins left="0.75" right="0.46" top="1.25" bottom="1" header="0.5" footer="0.5"/>
  <pageSetup scale="48" orientation="portrait"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57"/>
    <pageSetUpPr fitToPage="1"/>
  </sheetPr>
  <dimension ref="A1:G60"/>
  <sheetViews>
    <sheetView showGridLines="0" zoomScale="82" zoomScaleNormal="82" workbookViewId="0"/>
  </sheetViews>
  <sheetFormatPr defaultColWidth="0" defaultRowHeight="12.5" zeroHeight="1"/>
  <cols>
    <col min="1" max="1" width="2.19921875" style="47" customWidth="1"/>
    <col min="2" max="2" width="2" style="47" customWidth="1"/>
    <col min="3" max="3" width="4.5" style="47" customWidth="1"/>
    <col min="4" max="4" width="6.19921875" style="47" customWidth="1"/>
    <col min="5" max="5" width="45.69921875" style="47" customWidth="1"/>
    <col min="6" max="6" width="84.5" style="47" customWidth="1"/>
    <col min="7" max="7" width="4.796875" style="47" customWidth="1"/>
    <col min="8" max="16384" width="8.796875" style="47" hidden="1"/>
  </cols>
  <sheetData>
    <row r="1" spans="1:6" ht="18">
      <c r="A1" s="6"/>
      <c r="B1" s="423" t="str">
        <f>"SFY "&amp;Year&amp;" DSH Exam Survey - Submission Checklist"</f>
        <v>SFY 2022 DSH Exam Survey - Submission Checklist</v>
      </c>
      <c r="C1" s="423"/>
      <c r="D1" s="423"/>
      <c r="E1" s="423"/>
      <c r="F1" s="423"/>
    </row>
    <row r="2" spans="1:6" ht="18">
      <c r="B2" s="329"/>
      <c r="C2" s="329"/>
      <c r="D2" s="329"/>
      <c r="E2" s="329"/>
      <c r="F2" s="329"/>
    </row>
    <row r="3" spans="1:6" ht="18">
      <c r="B3" s="424" t="s">
        <v>1192</v>
      </c>
      <c r="C3" s="424"/>
      <c r="D3" s="424"/>
      <c r="E3" s="424"/>
      <c r="F3" s="424"/>
    </row>
    <row r="4" spans="1:6" ht="18">
      <c r="B4" s="425" t="s">
        <v>1193</v>
      </c>
      <c r="C4" s="425"/>
      <c r="D4" s="425"/>
      <c r="E4" s="425"/>
      <c r="F4" s="425"/>
    </row>
    <row r="5" spans="1:6" ht="18">
      <c r="B5" s="330"/>
      <c r="C5" s="330"/>
      <c r="D5" s="330"/>
      <c r="E5" s="330"/>
      <c r="F5" s="330"/>
    </row>
    <row r="6" spans="1:6" ht="16" thickBot="1">
      <c r="B6" s="9"/>
      <c r="C6" s="9"/>
      <c r="D6" s="331"/>
      <c r="E6" s="9"/>
      <c r="F6" s="9"/>
    </row>
    <row r="7" spans="1:6" ht="13.5" thickBot="1">
      <c r="B7" s="301"/>
      <c r="C7" s="333"/>
      <c r="D7" s="334">
        <v>1</v>
      </c>
      <c r="E7" s="332" t="s">
        <v>1211</v>
      </c>
      <c r="F7" s="301"/>
    </row>
    <row r="8" spans="1:6" ht="13.5" thickBot="1">
      <c r="B8" s="301"/>
      <c r="C8" s="301"/>
      <c r="D8" s="334"/>
      <c r="E8" s="301"/>
      <c r="F8" s="301"/>
    </row>
    <row r="9" spans="1:6" ht="13.5" thickBot="1">
      <c r="B9" s="301"/>
      <c r="C9" s="333"/>
      <c r="D9" s="334">
        <v>2</v>
      </c>
      <c r="E9" s="332" t="s">
        <v>1212</v>
      </c>
      <c r="F9" s="332"/>
    </row>
    <row r="10" spans="1:6" ht="13">
      <c r="B10" s="301"/>
      <c r="C10" s="335"/>
      <c r="D10" s="334"/>
      <c r="E10" s="336" t="s">
        <v>1194</v>
      </c>
      <c r="F10" s="336"/>
    </row>
    <row r="11" spans="1:6" ht="13.5" thickBot="1">
      <c r="B11" s="301"/>
      <c r="C11" s="301"/>
      <c r="D11" s="334"/>
      <c r="E11" s="301"/>
      <c r="F11" s="301"/>
    </row>
    <row r="12" spans="1:6" ht="13.5" thickBot="1">
      <c r="B12" s="301"/>
      <c r="C12" s="333"/>
      <c r="D12" s="334">
        <v>3</v>
      </c>
      <c r="E12" s="332" t="s">
        <v>1210</v>
      </c>
      <c r="F12" s="301"/>
    </row>
    <row r="13" spans="1:6" ht="13">
      <c r="B13" s="301"/>
      <c r="C13" s="301"/>
      <c r="D13" s="334"/>
      <c r="E13" s="336" t="s">
        <v>1195</v>
      </c>
      <c r="F13" s="336"/>
    </row>
    <row r="14" spans="1:6" ht="13.5" thickBot="1">
      <c r="B14" s="301"/>
      <c r="C14" s="301"/>
      <c r="D14" s="334"/>
      <c r="E14" s="301"/>
      <c r="F14" s="301"/>
    </row>
    <row r="15" spans="1:6" ht="13.5" thickBot="1">
      <c r="B15" s="301"/>
      <c r="C15" s="333"/>
      <c r="D15" s="334">
        <v>4</v>
      </c>
      <c r="E15" s="332" t="s">
        <v>1213</v>
      </c>
      <c r="F15" s="301"/>
    </row>
    <row r="16" spans="1:6" ht="13">
      <c r="B16" s="301"/>
      <c r="C16" s="301"/>
      <c r="D16" s="334"/>
      <c r="E16" s="336" t="s">
        <v>1214</v>
      </c>
      <c r="F16" s="336"/>
    </row>
    <row r="17" spans="2:6" ht="13.5" thickBot="1">
      <c r="B17" s="301"/>
      <c r="C17" s="301"/>
      <c r="D17" s="334"/>
      <c r="E17" s="337"/>
      <c r="F17" s="337"/>
    </row>
    <row r="18" spans="2:6" ht="13.5" thickBot="1">
      <c r="B18" s="301"/>
      <c r="C18" s="301"/>
      <c r="D18" s="334"/>
      <c r="E18" s="301"/>
      <c r="F18" s="336"/>
    </row>
    <row r="19" spans="2:6" ht="13.5" thickBot="1">
      <c r="B19" s="301"/>
      <c r="C19" s="333"/>
      <c r="D19" s="334">
        <v>5</v>
      </c>
      <c r="E19" s="332" t="s">
        <v>1215</v>
      </c>
      <c r="F19" s="338"/>
    </row>
    <row r="20" spans="2:6" ht="13">
      <c r="B20" s="301"/>
      <c r="C20" s="339"/>
      <c r="D20" s="334"/>
      <c r="E20" s="336" t="s">
        <v>1216</v>
      </c>
      <c r="F20" s="340"/>
    </row>
    <row r="21" spans="2:6" ht="13.5" thickBot="1">
      <c r="B21" s="301"/>
      <c r="C21" s="339"/>
      <c r="D21" s="334"/>
      <c r="E21" s="341"/>
      <c r="F21" s="342"/>
    </row>
    <row r="22" spans="2:6" ht="13.5" thickBot="1">
      <c r="B22" s="301"/>
      <c r="C22" s="301"/>
      <c r="D22" s="334"/>
      <c r="E22" s="301"/>
      <c r="F22" s="336"/>
    </row>
    <row r="23" spans="2:6" ht="13.5" thickBot="1">
      <c r="B23" s="301"/>
      <c r="C23" s="333"/>
      <c r="D23" s="334">
        <v>6</v>
      </c>
      <c r="E23" s="332" t="s">
        <v>1217</v>
      </c>
      <c r="F23" s="332"/>
    </row>
    <row r="24" spans="2:6" ht="13">
      <c r="B24" s="301"/>
      <c r="C24" s="301"/>
      <c r="D24" s="334"/>
      <c r="E24" s="336" t="s">
        <v>1218</v>
      </c>
      <c r="F24" s="336"/>
    </row>
    <row r="25" spans="2:6" ht="13.5" thickBot="1">
      <c r="B25" s="301"/>
      <c r="C25" s="301"/>
      <c r="D25" s="334"/>
      <c r="E25" s="337"/>
      <c r="F25" s="337"/>
    </row>
    <row r="26" spans="2:6" ht="13.5" thickBot="1">
      <c r="B26" s="301"/>
      <c r="C26" s="301"/>
      <c r="D26" s="334"/>
      <c r="E26" s="301"/>
      <c r="F26" s="336"/>
    </row>
    <row r="27" spans="2:6" ht="13.5" thickBot="1">
      <c r="B27" s="301"/>
      <c r="C27" s="333"/>
      <c r="D27" s="334">
        <v>7</v>
      </c>
      <c r="E27" s="332" t="s">
        <v>1219</v>
      </c>
      <c r="F27" s="332"/>
    </row>
    <row r="28" spans="2:6" ht="13">
      <c r="B28" s="301"/>
      <c r="C28" s="301"/>
      <c r="D28" s="334"/>
      <c r="E28" s="336" t="s">
        <v>1220</v>
      </c>
      <c r="F28" s="336"/>
    </row>
    <row r="29" spans="2:6" ht="13.5" thickBot="1">
      <c r="B29" s="301"/>
      <c r="C29" s="301"/>
      <c r="D29" s="334"/>
      <c r="E29" s="337"/>
      <c r="F29" s="337"/>
    </row>
    <row r="30" spans="2:6" ht="13.5" thickBot="1">
      <c r="B30" s="301"/>
      <c r="C30" s="335"/>
      <c r="D30" s="334"/>
      <c r="E30" s="343"/>
      <c r="F30" s="343"/>
    </row>
    <row r="31" spans="2:6" ht="13.5" thickBot="1">
      <c r="B31" s="301"/>
      <c r="C31" s="333"/>
      <c r="D31" s="334">
        <v>8</v>
      </c>
      <c r="E31" s="332" t="s">
        <v>1221</v>
      </c>
      <c r="F31" s="10"/>
    </row>
    <row r="32" spans="2:6" ht="13">
      <c r="B32" s="301"/>
      <c r="C32" s="301"/>
      <c r="D32" s="334"/>
      <c r="E32" s="336" t="s">
        <v>1222</v>
      </c>
      <c r="F32" s="336"/>
    </row>
    <row r="33" spans="2:6" ht="13.5" thickBot="1">
      <c r="B33" s="301"/>
      <c r="C33" s="301"/>
      <c r="D33" s="334"/>
      <c r="E33" s="337"/>
      <c r="F33" s="337"/>
    </row>
    <row r="34" spans="2:6" ht="13.5" thickBot="1">
      <c r="B34" s="301"/>
      <c r="C34" s="301"/>
      <c r="D34" s="334"/>
      <c r="E34" s="343"/>
      <c r="F34" s="343"/>
    </row>
    <row r="35" spans="2:6" ht="13.5" thickBot="1">
      <c r="B35" s="301"/>
      <c r="C35" s="333"/>
      <c r="D35" s="334">
        <v>9</v>
      </c>
      <c r="E35" s="332" t="s">
        <v>1223</v>
      </c>
      <c r="F35" s="10"/>
    </row>
    <row r="36" spans="2:6" ht="13.5" thickBot="1">
      <c r="B36" s="301"/>
      <c r="C36" s="301"/>
      <c r="D36" s="334"/>
      <c r="E36" s="344" t="s">
        <v>1196</v>
      </c>
      <c r="F36" s="345"/>
    </row>
    <row r="37" spans="2:6" ht="13.5" thickBot="1">
      <c r="B37" s="301"/>
      <c r="C37" s="301"/>
      <c r="D37" s="334"/>
      <c r="E37" s="343"/>
      <c r="F37" s="343"/>
    </row>
    <row r="38" spans="2:6" ht="13.5" thickBot="1">
      <c r="B38" s="301"/>
      <c r="C38" s="333"/>
      <c r="D38" s="334">
        <v>10</v>
      </c>
      <c r="E38" s="332" t="s">
        <v>1224</v>
      </c>
      <c r="F38" s="10"/>
    </row>
    <row r="39" spans="2:6" ht="13.5" thickBot="1">
      <c r="B39" s="301"/>
      <c r="C39" s="301"/>
      <c r="D39" s="334"/>
      <c r="E39" s="344" t="s">
        <v>1196</v>
      </c>
      <c r="F39" s="345"/>
    </row>
    <row r="40" spans="2:6" ht="13.5" thickBot="1">
      <c r="B40" s="301"/>
      <c r="C40" s="335"/>
      <c r="D40" s="334"/>
      <c r="E40" s="301"/>
      <c r="F40" s="301"/>
    </row>
    <row r="41" spans="2:6" ht="13.5" thickBot="1">
      <c r="B41" s="301"/>
      <c r="C41" s="333"/>
      <c r="D41" s="334">
        <v>11</v>
      </c>
      <c r="E41" s="332" t="s">
        <v>1225</v>
      </c>
      <c r="F41" s="10"/>
    </row>
    <row r="42" spans="2:6" ht="13.5" thickBot="1">
      <c r="B42" s="301"/>
      <c r="C42" s="301"/>
      <c r="D42" s="334"/>
      <c r="E42" s="344" t="s">
        <v>1196</v>
      </c>
      <c r="F42" s="345"/>
    </row>
    <row r="43" spans="2:6" ht="13.5" thickBot="1">
      <c r="B43" s="301"/>
      <c r="C43" s="301"/>
      <c r="D43" s="334"/>
      <c r="E43" s="336"/>
      <c r="F43" s="336"/>
    </row>
    <row r="44" spans="2:6" ht="13.5" thickBot="1">
      <c r="B44" s="301"/>
      <c r="C44" s="333"/>
      <c r="D44" s="334">
        <v>12</v>
      </c>
      <c r="E44" s="332" t="s">
        <v>1226</v>
      </c>
      <c r="F44" s="10"/>
    </row>
    <row r="45" spans="2:6" ht="13.5" thickBot="1">
      <c r="B45" s="301"/>
      <c r="C45" s="301"/>
      <c r="D45" s="334"/>
      <c r="E45" s="344" t="s">
        <v>1196</v>
      </c>
      <c r="F45" s="345"/>
    </row>
    <row r="46" spans="2:6" ht="13.5" thickBot="1">
      <c r="B46" s="301"/>
      <c r="C46" s="301"/>
      <c r="D46" s="334"/>
      <c r="E46" s="344"/>
      <c r="F46" s="344"/>
    </row>
    <row r="47" spans="2:6" ht="13.5" thickBot="1">
      <c r="B47" s="301"/>
      <c r="C47" s="333"/>
      <c r="D47" s="334">
        <v>13</v>
      </c>
      <c r="E47" s="332" t="s">
        <v>1227</v>
      </c>
      <c r="F47" s="10"/>
    </row>
    <row r="48" spans="2:6" ht="13.5" thickBot="1">
      <c r="B48" s="301"/>
      <c r="C48" s="301"/>
      <c r="D48" s="334"/>
      <c r="E48" s="344" t="s">
        <v>1196</v>
      </c>
      <c r="F48" s="345"/>
    </row>
    <row r="49" spans="4:4" ht="13">
      <c r="D49" s="334"/>
    </row>
    <row r="50" spans="4:4" ht="13">
      <c r="D50" s="334"/>
    </row>
    <row r="51" spans="4:4" ht="13">
      <c r="D51" s="334"/>
    </row>
    <row r="52" spans="4:4" ht="13">
      <c r="D52" s="334"/>
    </row>
    <row r="53" spans="4:4" ht="13">
      <c r="D53" s="334"/>
    </row>
    <row r="54" spans="4:4" ht="13">
      <c r="D54" s="334"/>
    </row>
    <row r="55" spans="4:4" ht="13">
      <c r="D55" s="334"/>
    </row>
    <row r="56" spans="4:4" ht="13">
      <c r="D56" s="334"/>
    </row>
    <row r="57" spans="4:4" ht="13">
      <c r="D57" s="334"/>
    </row>
    <row r="58" spans="4:4"/>
    <row r="59" spans="4:4"/>
    <row r="60" spans="4:4"/>
  </sheetData>
  <sheetProtection algorithmName="SHA-512" hashValue="2JDunfEGg2UhPv2bQd5Dw7uYtCHdc0oN8eibz+9ueBexxyjdFE4s3UuAK1jgYVKOEAXWNR17t+h/VacpSvW98Q==" saltValue="/m+HxIdf+s6aduJqAcO85g==" spinCount="100000" sheet="1" objects="1" scenarios="1"/>
  <mergeCells count="3">
    <mergeCell ref="B1:F1"/>
    <mergeCell ref="B3:F3"/>
    <mergeCell ref="B4:F4"/>
  </mergeCells>
  <dataValidations count="1">
    <dataValidation type="list" allowBlank="1" showInputMessage="1" showErrorMessage="1" sqref="C7 C9 C12 C15 C19 C23 C27 C31 C35 C38 C41 C44 C47" xr:uid="{00000000-0002-0000-0A00-000000000000}">
      <formula1>"X,N/A"</formula1>
    </dataValidation>
  </dataValidations>
  <pageMargins left="0.75" right="0.46" top="1.25" bottom="1" header="0.5" footer="0.5"/>
  <pageSetup scale="72" orientation="portrait"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0" tint="-0.249977111117893"/>
    <pageSetUpPr fitToPage="1"/>
  </sheetPr>
  <dimension ref="A1:M48"/>
  <sheetViews>
    <sheetView showGridLines="0" zoomScale="85" zoomScaleNormal="85" workbookViewId="0"/>
  </sheetViews>
  <sheetFormatPr defaultColWidth="0" defaultRowHeight="12.5" zeroHeight="1"/>
  <cols>
    <col min="1" max="1" width="4.69921875" style="47" customWidth="1"/>
    <col min="2" max="2" width="64.69921875" style="47" customWidth="1"/>
    <col min="3" max="3" width="3.796875" style="47" customWidth="1"/>
    <col min="4" max="4" width="39.19921875" style="47" customWidth="1"/>
    <col min="5" max="5" width="8.796875" style="47" customWidth="1"/>
    <col min="6" max="6" width="19.296875" style="47" customWidth="1"/>
    <col min="7" max="7" width="8.796875" style="47" customWidth="1"/>
    <col min="8" max="8" width="19" style="47" customWidth="1"/>
    <col min="9" max="9" width="4" style="47" customWidth="1"/>
    <col min="10" max="10" width="3.5" style="47" customWidth="1"/>
    <col min="11" max="13" width="8.796875" style="47" hidden="1" customWidth="1"/>
    <col min="14" max="16384" width="8.796875" style="47" hidden="1"/>
  </cols>
  <sheetData>
    <row r="1" spans="1:13">
      <c r="M1" s="223"/>
    </row>
    <row r="2" spans="1:13" s="200" customFormat="1" ht="14">
      <c r="A2" s="208" t="str">
        <f>CONCATENATE("SFY ",Year, " Survey Shortfall/(Longfall) Preliminary Calculation")</f>
        <v>SFY 2022 Survey Shortfall/(Longfall) Preliminary Calculation</v>
      </c>
      <c r="D2" s="207" t="s">
        <v>385</v>
      </c>
      <c r="M2" s="243"/>
    </row>
    <row r="3" spans="1:13">
      <c r="M3" s="223"/>
    </row>
    <row r="4" spans="1:13">
      <c r="M4" s="223"/>
    </row>
    <row r="5" spans="1:13" ht="13">
      <c r="A5" s="201" t="s">
        <v>369</v>
      </c>
      <c r="B5" s="202"/>
      <c r="C5" s="202"/>
      <c r="D5" s="202"/>
      <c r="E5" s="202"/>
      <c r="F5" s="202"/>
      <c r="G5" s="202"/>
      <c r="H5" s="202"/>
      <c r="I5" s="202"/>
      <c r="M5" s="223"/>
    </row>
    <row r="6" spans="1:13">
      <c r="M6" s="223"/>
    </row>
    <row r="7" spans="1:13" hidden="1">
      <c r="A7" s="223"/>
      <c r="B7" s="223"/>
      <c r="C7" s="223"/>
      <c r="D7" s="223" t="s">
        <v>416</v>
      </c>
      <c r="E7" s="223"/>
      <c r="F7" s="223" t="s">
        <v>450</v>
      </c>
      <c r="G7" s="223"/>
      <c r="H7" s="223" t="s">
        <v>451</v>
      </c>
      <c r="I7" s="223"/>
      <c r="J7" s="223"/>
      <c r="K7" s="223"/>
      <c r="L7" s="223"/>
      <c r="M7" s="223"/>
    </row>
    <row r="8" spans="1:13" ht="13">
      <c r="D8" s="203" t="s">
        <v>15</v>
      </c>
      <c r="M8" s="223"/>
    </row>
    <row r="9" spans="1:13">
      <c r="A9" s="215" t="s">
        <v>370</v>
      </c>
      <c r="B9" s="87" t="s">
        <v>371</v>
      </c>
      <c r="C9" s="87"/>
      <c r="D9" s="209" t="str">
        <f>VLOOKUP(HOSPITALNAME,DATATABLE,2,FALSE)</f>
        <v>000000723A</v>
      </c>
      <c r="M9" s="223"/>
    </row>
    <row r="10" spans="1:13">
      <c r="A10" s="215" t="s">
        <v>372</v>
      </c>
      <c r="B10" s="87" t="s">
        <v>373</v>
      </c>
      <c r="C10" s="87"/>
      <c r="D10" s="209" t="str">
        <f>HOSPITALNAME</f>
        <v>AU Medical Center</v>
      </c>
      <c r="M10" s="223"/>
    </row>
    <row r="11" spans="1:13">
      <c r="A11" s="215" t="s">
        <v>374</v>
      </c>
      <c r="B11" s="87" t="s">
        <v>375</v>
      </c>
      <c r="C11" s="87"/>
      <c r="D11" s="210">
        <f>VLOOKUP(HOSPITALNAME,DATATABLE,5,FALSE)</f>
        <v>110034</v>
      </c>
      <c r="M11" s="223"/>
    </row>
    <row r="12" spans="1:13" ht="13">
      <c r="A12" s="215" t="s">
        <v>376</v>
      </c>
      <c r="B12" s="87" t="s">
        <v>377</v>
      </c>
      <c r="C12" s="87"/>
      <c r="D12" s="283"/>
      <c r="M12" s="223" t="s">
        <v>528</v>
      </c>
    </row>
    <row r="13" spans="1:13">
      <c r="M13" s="223"/>
    </row>
    <row r="14" spans="1:13" ht="13">
      <c r="A14" s="201" t="s">
        <v>380</v>
      </c>
      <c r="B14" s="202"/>
      <c r="C14" s="202"/>
      <c r="D14" s="202"/>
      <c r="E14" s="202"/>
      <c r="F14" s="204"/>
      <c r="G14" s="204"/>
      <c r="H14" s="204"/>
      <c r="I14" s="204"/>
      <c r="M14" s="223"/>
    </row>
    <row r="15" spans="1:13">
      <c r="M15" s="223"/>
    </row>
    <row r="16" spans="1:13" ht="13">
      <c r="F16" s="203" t="s">
        <v>1158</v>
      </c>
      <c r="H16" s="203" t="s">
        <v>1160</v>
      </c>
      <c r="M16" s="223"/>
    </row>
    <row r="17" spans="1:13" ht="13">
      <c r="F17" s="203" t="s">
        <v>1159</v>
      </c>
      <c r="H17" s="203" t="s">
        <v>1161</v>
      </c>
      <c r="M17" s="223"/>
    </row>
    <row r="18" spans="1:13" ht="31.15" customHeight="1">
      <c r="A18" s="215" t="s">
        <v>330</v>
      </c>
      <c r="B18" s="302" t="s">
        <v>1146</v>
      </c>
      <c r="C18" s="302"/>
      <c r="D18" s="87" t="s">
        <v>1152</v>
      </c>
      <c r="F18" s="297"/>
      <c r="H18" s="297"/>
      <c r="M18" s="223" t="s">
        <v>529</v>
      </c>
    </row>
    <row r="19" spans="1:13" ht="18" customHeight="1">
      <c r="A19" s="215" t="s">
        <v>378</v>
      </c>
      <c r="B19" s="87" t="s">
        <v>1147</v>
      </c>
      <c r="C19" s="87"/>
      <c r="D19" s="87" t="s">
        <v>1153</v>
      </c>
      <c r="F19" s="296"/>
      <c r="H19" s="296"/>
      <c r="M19" s="223" t="s">
        <v>530</v>
      </c>
    </row>
    <row r="20" spans="1:13" ht="18" customHeight="1">
      <c r="A20" s="215" t="s">
        <v>379</v>
      </c>
      <c r="B20" s="87" t="s">
        <v>1148</v>
      </c>
      <c r="C20" s="87"/>
      <c r="D20" s="87" t="s">
        <v>1154</v>
      </c>
      <c r="F20" s="296"/>
      <c r="H20" s="296"/>
      <c r="M20" s="223" t="s">
        <v>531</v>
      </c>
    </row>
    <row r="21" spans="1:13" ht="18" customHeight="1">
      <c r="A21" s="215" t="s">
        <v>1144</v>
      </c>
      <c r="B21" s="87" t="s">
        <v>1149</v>
      </c>
      <c r="C21" s="87"/>
      <c r="D21" s="87" t="s">
        <v>1155</v>
      </c>
      <c r="E21" s="205"/>
      <c r="F21" s="295"/>
      <c r="H21" s="295"/>
      <c r="M21" s="223" t="s">
        <v>532</v>
      </c>
    </row>
    <row r="22" spans="1:13" ht="18" customHeight="1">
      <c r="A22" s="215" t="s">
        <v>1145</v>
      </c>
      <c r="B22" s="87" t="s">
        <v>1150</v>
      </c>
      <c r="C22" s="87"/>
      <c r="D22" s="87" t="s">
        <v>1156</v>
      </c>
      <c r="F22" s="298">
        <f>'Sec. A-C DSH Year Data'!I77</f>
        <v>20436343</v>
      </c>
      <c r="G22" s="206"/>
      <c r="H22" s="206"/>
      <c r="M22" s="223" t="s">
        <v>533</v>
      </c>
    </row>
    <row r="23" spans="1:13" ht="37.5">
      <c r="A23" s="215">
        <v>2</v>
      </c>
      <c r="B23" s="302" t="s">
        <v>1151</v>
      </c>
      <c r="C23" s="302"/>
      <c r="D23" s="87" t="s">
        <v>1157</v>
      </c>
      <c r="F23" s="299"/>
      <c r="G23" s="206"/>
      <c r="H23" s="206"/>
      <c r="M23" s="223" t="s">
        <v>534</v>
      </c>
    </row>
    <row r="24" spans="1:13">
      <c r="A24" s="300"/>
      <c r="M24" s="223"/>
    </row>
    <row r="25" spans="1:13">
      <c r="A25" s="215" t="s">
        <v>193</v>
      </c>
      <c r="B25" s="87" t="s">
        <v>1162</v>
      </c>
      <c r="C25" s="87"/>
      <c r="D25" s="301" t="s">
        <v>1165</v>
      </c>
      <c r="E25" s="87"/>
      <c r="F25" s="294"/>
      <c r="G25" s="206"/>
      <c r="H25" s="294"/>
      <c r="M25" s="223" t="s">
        <v>535</v>
      </c>
    </row>
    <row r="26" spans="1:13">
      <c r="A26" s="215" t="s">
        <v>197</v>
      </c>
      <c r="B26" s="302" t="s">
        <v>1163</v>
      </c>
      <c r="C26" s="302"/>
      <c r="D26" s="87" t="s">
        <v>1166</v>
      </c>
      <c r="E26" s="87"/>
      <c r="F26" s="304"/>
      <c r="G26" s="206"/>
      <c r="H26" s="294"/>
      <c r="M26" s="223" t="s">
        <v>536</v>
      </c>
    </row>
    <row r="27" spans="1:13">
      <c r="A27" s="300">
        <v>3</v>
      </c>
      <c r="B27" s="47" t="s">
        <v>1164</v>
      </c>
      <c r="D27" s="47" t="s">
        <v>1167</v>
      </c>
      <c r="M27" s="223"/>
    </row>
    <row r="28" spans="1:13">
      <c r="A28" s="300"/>
      <c r="M28" s="223"/>
    </row>
    <row r="29" spans="1:13">
      <c r="A29" s="215">
        <v>4</v>
      </c>
      <c r="B29" s="87" t="s">
        <v>1168</v>
      </c>
      <c r="C29" s="87"/>
      <c r="D29" s="87" t="s">
        <v>1171</v>
      </c>
      <c r="E29" s="212"/>
      <c r="F29" s="304">
        <v>0</v>
      </c>
      <c r="G29" s="211"/>
      <c r="M29" s="223" t="s">
        <v>537</v>
      </c>
    </row>
    <row r="30" spans="1:13">
      <c r="A30" s="215">
        <v>5</v>
      </c>
      <c r="B30" s="87" t="s">
        <v>1169</v>
      </c>
      <c r="C30" s="87"/>
      <c r="D30" s="87" t="s">
        <v>1172</v>
      </c>
      <c r="F30" s="284"/>
      <c r="G30" s="211"/>
      <c r="M30" s="223" t="s">
        <v>538</v>
      </c>
    </row>
    <row r="31" spans="1:13">
      <c r="A31" s="215">
        <v>6</v>
      </c>
      <c r="B31" s="87" t="s">
        <v>1170</v>
      </c>
      <c r="C31" s="87"/>
      <c r="D31" s="87" t="s">
        <v>1173</v>
      </c>
      <c r="E31" s="87"/>
      <c r="F31" s="304">
        <f>F26+H26-F29-F30</f>
        <v>0</v>
      </c>
      <c r="M31" s="223" t="s">
        <v>539</v>
      </c>
    </row>
    <row r="32" spans="1:13">
      <c r="A32" s="300"/>
      <c r="M32" s="223"/>
    </row>
    <row r="33" spans="1:13">
      <c r="M33" s="223"/>
    </row>
    <row r="34" spans="1:13" ht="13">
      <c r="A34" s="201" t="s">
        <v>381</v>
      </c>
      <c r="B34" s="202"/>
      <c r="C34" s="202"/>
      <c r="D34" s="202"/>
      <c r="E34" s="202"/>
      <c r="F34" s="204"/>
      <c r="G34" s="204"/>
      <c r="H34" s="204"/>
      <c r="I34" s="204"/>
      <c r="M34" s="223"/>
    </row>
    <row r="35" spans="1:13">
      <c r="A35" s="87"/>
      <c r="B35" s="87"/>
      <c r="C35" s="87"/>
      <c r="D35" s="87"/>
      <c r="E35" s="87"/>
      <c r="F35" s="87"/>
      <c r="G35" s="87"/>
      <c r="H35" s="87"/>
      <c r="M35" s="223"/>
    </row>
    <row r="36" spans="1:13">
      <c r="A36" s="87"/>
      <c r="B36" s="87" t="s">
        <v>1174</v>
      </c>
      <c r="C36" s="87"/>
      <c r="D36" s="87"/>
      <c r="E36" s="87"/>
      <c r="F36" s="87"/>
      <c r="G36" s="87"/>
      <c r="H36" s="87"/>
      <c r="M36" s="223"/>
    </row>
    <row r="37" spans="1:13">
      <c r="A37" s="87"/>
      <c r="B37" s="87" t="s">
        <v>1175</v>
      </c>
      <c r="C37" s="87"/>
      <c r="D37" s="87"/>
      <c r="E37" s="87"/>
      <c r="F37" s="87"/>
      <c r="G37" s="87"/>
      <c r="H37" s="87"/>
      <c r="M37" s="223"/>
    </row>
    <row r="38" spans="1:13">
      <c r="M38" s="223"/>
    </row>
    <row r="39" spans="1:13" hidden="1">
      <c r="A39" s="223"/>
      <c r="B39" s="223"/>
      <c r="C39" s="223"/>
      <c r="D39" s="223" t="s">
        <v>452</v>
      </c>
      <c r="E39" s="223"/>
      <c r="F39" s="223"/>
      <c r="G39" s="223"/>
      <c r="H39" s="223"/>
      <c r="I39" s="223"/>
      <c r="J39" s="223"/>
      <c r="K39" s="223"/>
      <c r="L39" s="223"/>
      <c r="M39" s="223"/>
    </row>
    <row r="40" spans="1:13">
      <c r="B40" s="323" t="s">
        <v>384</v>
      </c>
      <c r="C40" s="303"/>
      <c r="D40" s="386"/>
      <c r="E40" s="387"/>
      <c r="F40" s="387"/>
      <c r="G40" s="426"/>
      <c r="M40" s="223" t="s">
        <v>540</v>
      </c>
    </row>
    <row r="41" spans="1:13">
      <c r="B41" s="323" t="s">
        <v>70</v>
      </c>
      <c r="C41" s="303"/>
      <c r="D41" s="386"/>
      <c r="E41" s="387"/>
      <c r="F41" s="387"/>
      <c r="G41" s="426"/>
      <c r="M41" s="223" t="s">
        <v>541</v>
      </c>
    </row>
    <row r="42" spans="1:13">
      <c r="B42" s="323" t="s">
        <v>69</v>
      </c>
      <c r="C42" s="303"/>
      <c r="D42" s="386"/>
      <c r="E42" s="387"/>
      <c r="F42" s="387"/>
      <c r="G42" s="426"/>
      <c r="M42" s="223" t="s">
        <v>542</v>
      </c>
    </row>
    <row r="43" spans="1:13">
      <c r="B43" s="323" t="s">
        <v>382</v>
      </c>
      <c r="C43" s="303"/>
      <c r="D43" s="405"/>
      <c r="E43" s="406"/>
      <c r="F43" s="406"/>
      <c r="G43" s="427"/>
      <c r="M43" s="223" t="s">
        <v>543</v>
      </c>
    </row>
    <row r="44" spans="1:13">
      <c r="B44" s="323" t="s">
        <v>383</v>
      </c>
      <c r="C44" s="303"/>
      <c r="D44" s="386"/>
      <c r="E44" s="387"/>
      <c r="F44" s="387"/>
      <c r="G44" s="426"/>
      <c r="M44" s="223" t="s">
        <v>544</v>
      </c>
    </row>
    <row r="45" spans="1:13"/>
    <row r="46" spans="1:13"/>
    <row r="47" spans="1:13"/>
    <row r="48" spans="1:13"/>
  </sheetData>
  <sheetProtection algorithmName="SHA-512" hashValue="mtJXt2IudmyCvE5hwNl7QsCXPsHrNYAvUUaMvwsUAbfqkdvWnaEdFQRZzQ7s1ORfWexrjtL+gv1QUVRrq0evEg==" saltValue="vtBLy5W5nSWUs0JNOKfmpg==" spinCount="100000" sheet="1" objects="1" scenarios="1"/>
  <mergeCells count="5">
    <mergeCell ref="D40:G40"/>
    <mergeCell ref="D41:G41"/>
    <mergeCell ref="D42:G42"/>
    <mergeCell ref="D43:G43"/>
    <mergeCell ref="D44:G44"/>
  </mergeCells>
  <dataValidations count="2">
    <dataValidation type="list" allowBlank="1" showInputMessage="1" showErrorMessage="1" sqref="D12" xr:uid="{00000000-0002-0000-0B00-000000000000}">
      <formula1>"Yes, No"</formula1>
    </dataValidation>
    <dataValidation type="whole" allowBlank="1" showInputMessage="1" showErrorMessage="1" sqref="F18:F20 H18:H20 F25:H25 F26:H26 F31 F22:H23" xr:uid="{00000000-0002-0000-0B00-000001000000}">
      <formula1>-400000000</formula1>
      <formula2>4000000000</formula2>
    </dataValidation>
  </dataValidations>
  <pageMargins left="0.7" right="0.7" top="0.75" bottom="0.75" header="0.3" footer="0.3"/>
  <pageSetup scale="58" orientation="portrait"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92D050"/>
  </sheetPr>
  <dimension ref="A1:AN291"/>
  <sheetViews>
    <sheetView showGridLines="0" zoomScale="85" zoomScaleNormal="85" workbookViewId="0">
      <selection activeCell="C6" sqref="C6"/>
    </sheetView>
  </sheetViews>
  <sheetFormatPr defaultColWidth="0" defaultRowHeight="12.75" customHeight="1" zeroHeight="1"/>
  <cols>
    <col min="1" max="1" width="5.796875" style="47" customWidth="1"/>
    <col min="2" max="2" width="61.19921875" style="47" customWidth="1"/>
    <col min="3" max="3" width="23.69921875" style="47" customWidth="1"/>
    <col min="4" max="4" width="1.796875" style="47" customWidth="1"/>
    <col min="5" max="5" width="20.69921875" style="47" customWidth="1"/>
    <col min="6" max="6" width="2" style="47" customWidth="1"/>
    <col min="7" max="7" width="21" style="47" customWidth="1"/>
    <col min="8" max="8" width="1.69921875" style="47" customWidth="1"/>
    <col min="9" max="9" width="21" style="47" customWidth="1"/>
    <col min="10" max="10" width="1.796875" style="47" customWidth="1"/>
    <col min="11" max="11" width="21" style="47" customWidth="1"/>
    <col min="12" max="12" width="1.796875" style="47" customWidth="1"/>
    <col min="13" max="13" width="21" style="47" customWidth="1"/>
    <col min="14" max="14" width="1.796875" style="47" customWidth="1"/>
    <col min="15" max="15" width="2" style="49" customWidth="1"/>
    <col min="16" max="16" width="1.796875" style="47" hidden="1" customWidth="1"/>
    <col min="17" max="17" width="15.296875" style="47" hidden="1" customWidth="1"/>
    <col min="18" max="18" width="1.796875" style="47" hidden="1" customWidth="1"/>
    <col min="19" max="19" width="21" style="47" hidden="1" customWidth="1"/>
    <col min="20" max="20" width="1.796875" style="47" hidden="1" customWidth="1"/>
    <col min="21" max="21" width="21" style="47" hidden="1" customWidth="1"/>
    <col min="22" max="22" width="1.796875" style="47" hidden="1" customWidth="1"/>
    <col min="23" max="23" width="21" style="47" hidden="1" customWidth="1"/>
    <col min="24" max="24" width="1.796875" style="47" hidden="1" customWidth="1"/>
    <col min="25" max="25" width="21" style="47" hidden="1" customWidth="1"/>
    <col min="26" max="26" width="1.796875" style="47" hidden="1" customWidth="1"/>
    <col min="27" max="27" width="8.796875" style="47" hidden="1" customWidth="1"/>
    <col min="28" max="28" width="1.796875" style="47" hidden="1" customWidth="1"/>
    <col min="29" max="29" width="45.69921875" style="47" hidden="1" customWidth="1"/>
    <col min="30" max="30" width="1.796875" style="47" hidden="1" customWidth="1"/>
    <col min="31" max="31" width="9.296875" style="47" hidden="1" customWidth="1"/>
    <col min="32" max="32" width="1.796875" style="47" hidden="1" customWidth="1"/>
    <col min="33" max="33" width="9.296875" style="47" hidden="1" customWidth="1"/>
    <col min="34" max="34" width="1.796875" style="47" hidden="1" customWidth="1"/>
    <col min="35" max="35" width="9.296875" style="47" hidden="1" customWidth="1"/>
    <col min="36" max="36" width="1.796875" style="47" hidden="1" customWidth="1"/>
    <col min="37" max="37" width="9.296875" style="47" hidden="1" customWidth="1"/>
    <col min="38" max="38" width="1.796875" style="47" hidden="1" customWidth="1"/>
    <col min="39" max="39" width="9.296875" style="47" hidden="1" customWidth="1"/>
    <col min="40" max="40" width="1.796875" style="47" hidden="1" customWidth="1"/>
    <col min="41" max="16384" width="9.296875" style="47" hidden="1"/>
  </cols>
  <sheetData>
    <row r="1" spans="1:31" ht="12.75" customHeight="1"/>
    <row r="2" spans="1:31" ht="12.75" hidden="1" customHeight="1">
      <c r="A2" s="223"/>
      <c r="B2" s="223"/>
      <c r="C2" s="223" t="s">
        <v>416</v>
      </c>
      <c r="D2" s="223"/>
      <c r="E2" s="223" t="s">
        <v>450</v>
      </c>
      <c r="F2" s="223"/>
      <c r="G2" s="223"/>
      <c r="H2" s="223"/>
      <c r="I2" s="223"/>
      <c r="J2" s="223"/>
      <c r="K2" s="223" t="s">
        <v>451</v>
      </c>
      <c r="L2" s="223"/>
      <c r="M2" s="223"/>
      <c r="N2" s="223"/>
      <c r="O2" s="223"/>
      <c r="P2" s="223"/>
      <c r="Q2" s="223"/>
    </row>
    <row r="3" spans="1:31" ht="13">
      <c r="I3" s="48" t="s">
        <v>150</v>
      </c>
      <c r="K3" s="254">
        <f>Version</f>
        <v>6.02</v>
      </c>
      <c r="L3" s="108"/>
      <c r="M3" s="99">
        <f>'Sec. A-C DSH Year Data'!M3</f>
        <v>44967</v>
      </c>
      <c r="O3" s="133"/>
      <c r="Q3" s="223" t="s">
        <v>492</v>
      </c>
      <c r="AE3" s="47" t="str">
        <f>State</f>
        <v>Georgia</v>
      </c>
    </row>
    <row r="4" spans="1:31" s="5" customFormat="1" ht="15.5">
      <c r="A4" s="100" t="s">
        <v>120</v>
      </c>
      <c r="B4" s="101"/>
      <c r="C4" s="101"/>
      <c r="D4" s="41"/>
      <c r="E4" s="41"/>
      <c r="F4" s="41"/>
      <c r="G4" s="102"/>
      <c r="H4" s="102"/>
      <c r="I4" s="102"/>
      <c r="J4" s="41"/>
      <c r="K4" s="41"/>
      <c r="L4" s="41"/>
      <c r="M4" s="41"/>
      <c r="N4" s="41"/>
      <c r="O4" s="103"/>
      <c r="Q4" s="224"/>
      <c r="AC4" s="104" t="s">
        <v>48</v>
      </c>
      <c r="AD4" s="104"/>
      <c r="AE4" s="104">
        <f>Waiver_Response</f>
        <v>0</v>
      </c>
    </row>
    <row r="5" spans="1:31" ht="12" customHeight="1">
      <c r="C5" s="105" t="s">
        <v>116</v>
      </c>
      <c r="E5" s="105" t="s">
        <v>117</v>
      </c>
      <c r="I5" s="135" t="s">
        <v>152</v>
      </c>
      <c r="K5" s="158"/>
      <c r="M5" s="158" t="s">
        <v>200</v>
      </c>
      <c r="Q5" s="223"/>
      <c r="AC5" s="106" t="s">
        <v>39</v>
      </c>
      <c r="AD5" s="106"/>
    </row>
    <row r="6" spans="1:31" ht="13">
      <c r="A6" s="124">
        <f>'Sec. A-C DSH Year Data'!A6</f>
        <v>1</v>
      </c>
      <c r="B6" s="108" t="s">
        <v>110</v>
      </c>
      <c r="C6" s="271">
        <f>DSH_Year_Begin</f>
        <v>44378</v>
      </c>
      <c r="E6" s="271">
        <f>DSH_Year_End</f>
        <v>44742</v>
      </c>
      <c r="H6" s="109"/>
      <c r="I6" s="135" t="s">
        <v>154</v>
      </c>
      <c r="K6" s="158"/>
      <c r="M6" s="158"/>
      <c r="Q6" s="223" t="s">
        <v>493</v>
      </c>
      <c r="AC6" s="106" t="s">
        <v>40</v>
      </c>
      <c r="AD6" s="106"/>
    </row>
    <row r="7" spans="1:31" ht="13">
      <c r="A7" s="107"/>
      <c r="B7" s="108"/>
      <c r="C7" s="50"/>
      <c r="E7" s="50"/>
      <c r="H7" s="109"/>
      <c r="I7" s="135" t="s">
        <v>153</v>
      </c>
      <c r="K7" s="158"/>
      <c r="M7" s="158"/>
      <c r="Q7" s="223"/>
      <c r="AC7" s="106"/>
      <c r="AD7" s="106"/>
    </row>
    <row r="8" spans="1:31" ht="13" hidden="1">
      <c r="A8" s="225"/>
      <c r="B8" s="226"/>
      <c r="C8" s="237" t="s">
        <v>452</v>
      </c>
      <c r="D8" s="223"/>
      <c r="E8" s="227"/>
      <c r="F8" s="223"/>
      <c r="G8" s="223"/>
      <c r="H8" s="228"/>
      <c r="I8" s="223"/>
      <c r="J8" s="223"/>
      <c r="K8" s="239"/>
      <c r="L8" s="223"/>
      <c r="M8" s="239"/>
      <c r="N8" s="223"/>
      <c r="O8" s="223"/>
      <c r="P8" s="223"/>
      <c r="Q8" s="223"/>
      <c r="AC8" s="106"/>
      <c r="AD8" s="106"/>
    </row>
    <row r="9" spans="1:31" ht="16.149999999999999" customHeight="1">
      <c r="A9" s="124">
        <f>'Sec. A-C DSH Year Data'!A9</f>
        <v>2</v>
      </c>
      <c r="B9" s="47" t="s">
        <v>18</v>
      </c>
      <c r="C9" s="428" t="str">
        <f>HOSPITALNAME</f>
        <v>AU Medical Center</v>
      </c>
      <c r="D9" s="429"/>
      <c r="E9" s="429"/>
      <c r="F9" s="429"/>
      <c r="G9" s="430"/>
      <c r="O9" s="133"/>
      <c r="Q9" s="223" t="s">
        <v>494</v>
      </c>
      <c r="AC9" s="106" t="s">
        <v>37</v>
      </c>
      <c r="AD9" s="106"/>
    </row>
    <row r="10" spans="1:31" ht="11.25" customHeight="1">
      <c r="Q10" s="223"/>
      <c r="AC10" s="106" t="s">
        <v>38</v>
      </c>
      <c r="AD10" s="106"/>
    </row>
    <row r="11" spans="1:31" ht="7.5" customHeight="1">
      <c r="C11" s="109"/>
      <c r="E11" s="110"/>
      <c r="H11" s="109"/>
      <c r="I11" s="109"/>
      <c r="K11" s="110"/>
      <c r="Q11" s="223"/>
      <c r="AC11" s="106" t="s">
        <v>41</v>
      </c>
      <c r="AD11" s="106"/>
    </row>
    <row r="12" spans="1:31" ht="14.25" hidden="1" customHeight="1">
      <c r="A12" s="223"/>
      <c r="B12" s="223"/>
      <c r="C12" s="226" t="s">
        <v>453</v>
      </c>
      <c r="D12" s="226"/>
      <c r="E12" s="238" t="s">
        <v>454</v>
      </c>
      <c r="F12" s="223"/>
      <c r="G12" s="223"/>
      <c r="H12" s="228"/>
      <c r="I12" s="228"/>
      <c r="J12" s="223"/>
      <c r="K12" s="229"/>
      <c r="L12" s="223"/>
      <c r="M12" s="223"/>
      <c r="N12" s="223"/>
      <c r="O12" s="223"/>
      <c r="P12" s="223"/>
      <c r="Q12" s="223"/>
      <c r="AC12" s="106"/>
      <c r="AD12" s="106"/>
    </row>
    <row r="13" spans="1:31" ht="13">
      <c r="B13" s="111" t="s">
        <v>118</v>
      </c>
      <c r="C13" s="112"/>
      <c r="D13" s="112"/>
      <c r="E13" s="112"/>
      <c r="H13" s="109"/>
      <c r="I13" s="109"/>
      <c r="O13" s="133"/>
      <c r="Q13" s="223"/>
      <c r="AC13" s="106" t="s">
        <v>42</v>
      </c>
      <c r="AD13" s="106"/>
    </row>
    <row r="14" spans="1:31" ht="13">
      <c r="B14" s="113"/>
      <c r="C14" s="105" t="s">
        <v>32</v>
      </c>
      <c r="E14" s="105" t="s">
        <v>32</v>
      </c>
      <c r="H14" s="109"/>
      <c r="I14" s="109"/>
      <c r="Q14" s="223"/>
      <c r="AC14" s="106"/>
      <c r="AD14" s="106"/>
    </row>
    <row r="15" spans="1:31" ht="13">
      <c r="C15" s="105" t="s">
        <v>33</v>
      </c>
      <c r="E15" s="105" t="s">
        <v>34</v>
      </c>
      <c r="H15" s="109"/>
      <c r="I15" s="109"/>
      <c r="Q15" s="223"/>
      <c r="AC15" s="106" t="s">
        <v>43</v>
      </c>
      <c r="AD15" s="106"/>
    </row>
    <row r="16" spans="1:31" ht="13">
      <c r="A16" s="124">
        <f>'Sec. A-C DSH Year Data'!A16</f>
        <v>3</v>
      </c>
      <c r="B16" s="115" t="s">
        <v>111</v>
      </c>
      <c r="C16" s="272">
        <f>FYB_1</f>
        <v>44378</v>
      </c>
      <c r="E16" s="272">
        <f>FYE_1</f>
        <v>44742</v>
      </c>
      <c r="G16" s="88"/>
      <c r="H16" s="109"/>
      <c r="I16" s="109"/>
      <c r="Q16" s="223" t="s">
        <v>495</v>
      </c>
      <c r="AC16" s="106" t="s">
        <v>44</v>
      </c>
      <c r="AD16" s="106"/>
    </row>
    <row r="17" spans="1:30" ht="13">
      <c r="A17" s="124">
        <f>'Sec. A-C DSH Year Data'!A17</f>
        <v>4</v>
      </c>
      <c r="B17" s="115" t="s">
        <v>112</v>
      </c>
      <c r="C17" s="272" t="str">
        <f>FYB_2</f>
        <v/>
      </c>
      <c r="E17" s="272" t="str">
        <f>FYE_2</f>
        <v/>
      </c>
      <c r="G17" s="88"/>
      <c r="H17" s="109"/>
      <c r="I17" s="109"/>
      <c r="Q17" s="223" t="s">
        <v>496</v>
      </c>
      <c r="AC17" s="106" t="s">
        <v>45</v>
      </c>
      <c r="AD17" s="106"/>
    </row>
    <row r="18" spans="1:30" ht="13">
      <c r="A18" s="124">
        <f>'Sec. A-C DSH Year Data'!A18</f>
        <v>5</v>
      </c>
      <c r="B18" s="115" t="s">
        <v>113</v>
      </c>
      <c r="C18" s="272" t="str">
        <f>FYB_3</f>
        <v/>
      </c>
      <c r="E18" s="272" t="str">
        <f>FYE_3</f>
        <v/>
      </c>
      <c r="G18" s="88"/>
      <c r="H18" s="109"/>
      <c r="I18" s="109"/>
      <c r="Q18" s="223" t="s">
        <v>497</v>
      </c>
      <c r="AC18" s="106" t="s">
        <v>46</v>
      </c>
      <c r="AD18" s="106"/>
    </row>
    <row r="19" spans="1:30" ht="6.75" customHeight="1">
      <c r="A19" s="107"/>
      <c r="B19" s="115"/>
      <c r="C19" s="50"/>
      <c r="E19" s="50"/>
      <c r="H19" s="109"/>
      <c r="I19" s="109"/>
      <c r="Q19" s="223"/>
      <c r="AC19" s="106"/>
      <c r="AD19" s="106"/>
    </row>
    <row r="20" spans="1:30" ht="9" customHeight="1">
      <c r="A20" s="116"/>
      <c r="H20" s="109"/>
      <c r="I20" s="109"/>
      <c r="Q20" s="223"/>
      <c r="AC20" s="106" t="s">
        <v>47</v>
      </c>
      <c r="AD20" s="106"/>
    </row>
    <row r="21" spans="1:30" ht="12.75" hidden="1" customHeight="1">
      <c r="A21" s="230"/>
      <c r="B21" s="223"/>
      <c r="C21" s="223"/>
      <c r="D21" s="223"/>
      <c r="E21" s="223" t="s">
        <v>455</v>
      </c>
      <c r="F21" s="223"/>
      <c r="G21" s="223"/>
      <c r="H21" s="228"/>
      <c r="I21" s="228"/>
      <c r="J21" s="223"/>
      <c r="K21" s="223"/>
      <c r="L21" s="223"/>
      <c r="M21" s="223"/>
      <c r="N21" s="223"/>
      <c r="O21" s="223"/>
      <c r="P21" s="223"/>
      <c r="Q21" s="223"/>
      <c r="AC21" s="106"/>
      <c r="AD21" s="106"/>
    </row>
    <row r="22" spans="1:30" ht="28.5" customHeight="1">
      <c r="B22" s="109"/>
      <c r="C22" s="240" t="s">
        <v>15</v>
      </c>
      <c r="D22" s="240"/>
      <c r="E22" s="240"/>
      <c r="F22" s="117"/>
      <c r="O22" s="133"/>
      <c r="Q22" s="223"/>
      <c r="AC22" s="106" t="s">
        <v>49</v>
      </c>
      <c r="AD22" s="106"/>
    </row>
    <row r="23" spans="1:30" ht="18" customHeight="1">
      <c r="A23" s="124">
        <f>'Sec. A-C DSH Year Data'!A23</f>
        <v>6</v>
      </c>
      <c r="B23" s="108" t="s">
        <v>0</v>
      </c>
      <c r="C23" s="136"/>
      <c r="D23" s="137"/>
      <c r="E23" s="273" t="str">
        <f>McaidNum</f>
        <v>000000723A</v>
      </c>
      <c r="F23" s="120"/>
      <c r="Q23" s="223" t="s">
        <v>498</v>
      </c>
      <c r="AC23" s="106" t="s">
        <v>50</v>
      </c>
      <c r="AD23" s="106"/>
    </row>
    <row r="24" spans="1:30" ht="18" customHeight="1">
      <c r="A24" s="124">
        <f>'Sec. A-C DSH Year Data'!A24</f>
        <v>7</v>
      </c>
      <c r="B24" s="108" t="s">
        <v>2</v>
      </c>
      <c r="C24" s="136"/>
      <c r="D24" s="137"/>
      <c r="E24" s="273">
        <f>SubNum1</f>
        <v>0</v>
      </c>
      <c r="F24" s="120"/>
      <c r="Q24" s="223" t="s">
        <v>499</v>
      </c>
      <c r="AC24" s="106" t="s">
        <v>51</v>
      </c>
      <c r="AD24" s="106"/>
    </row>
    <row r="25" spans="1:30" ht="18" customHeight="1">
      <c r="A25" s="124">
        <f>'Sec. A-C DSH Year Data'!A25</f>
        <v>8</v>
      </c>
      <c r="B25" s="108" t="s">
        <v>3</v>
      </c>
      <c r="C25" s="136"/>
      <c r="D25" s="137"/>
      <c r="E25" s="273">
        <f>SubNum2</f>
        <v>0</v>
      </c>
      <c r="F25" s="120"/>
      <c r="Q25" s="223" t="s">
        <v>500</v>
      </c>
      <c r="AC25" s="106" t="s">
        <v>52</v>
      </c>
      <c r="AD25" s="106"/>
    </row>
    <row r="26" spans="1:30" ht="18" customHeight="1">
      <c r="A26" s="124">
        <f>'Sec. A-C DSH Year Data'!A26</f>
        <v>9</v>
      </c>
      <c r="B26" s="47" t="s">
        <v>1</v>
      </c>
      <c r="C26" s="136"/>
      <c r="D26" s="137"/>
      <c r="E26" s="273">
        <f>McareNum</f>
        <v>110034</v>
      </c>
      <c r="F26" s="120"/>
      <c r="Q26" s="223" t="s">
        <v>501</v>
      </c>
      <c r="AC26" s="106" t="s">
        <v>53</v>
      </c>
      <c r="AD26" s="106"/>
    </row>
    <row r="27" spans="1:30" ht="18" hidden="1" customHeight="1">
      <c r="A27" s="124">
        <f>'Sec. A-C DSH Year Data'!A27</f>
        <v>10</v>
      </c>
      <c r="B27" s="108" t="s">
        <v>235</v>
      </c>
      <c r="C27" s="136"/>
      <c r="D27" s="137"/>
      <c r="E27" s="273">
        <f>OwnerType</f>
        <v>0</v>
      </c>
      <c r="F27" s="120"/>
      <c r="Q27" s="223" t="s">
        <v>502</v>
      </c>
      <c r="AC27" s="106"/>
      <c r="AD27" s="106"/>
    </row>
    <row r="28" spans="1:30" ht="18" hidden="1" customHeight="1">
      <c r="A28" s="124">
        <f>'Sec. A-C DSH Year Data'!A28</f>
        <v>11</v>
      </c>
      <c r="B28" s="108" t="s">
        <v>236</v>
      </c>
      <c r="C28" s="136"/>
      <c r="D28" s="137"/>
      <c r="E28" s="273">
        <f>DSHPool</f>
        <v>0</v>
      </c>
      <c r="F28" s="120"/>
      <c r="Q28" s="223" t="s">
        <v>503</v>
      </c>
      <c r="AC28" s="106"/>
      <c r="AD28" s="106"/>
    </row>
    <row r="29" spans="1:30" ht="13">
      <c r="A29" s="107"/>
      <c r="B29" s="108"/>
      <c r="C29" s="108"/>
      <c r="E29" s="184"/>
      <c r="F29" s="120"/>
      <c r="Q29" s="223"/>
      <c r="AC29" s="106"/>
      <c r="AD29" s="106"/>
    </row>
    <row r="30" spans="1:30" ht="12.5">
      <c r="A30" s="107"/>
      <c r="C30" s="108"/>
      <c r="E30" s="121"/>
      <c r="F30" s="120"/>
      <c r="Q30" s="223"/>
      <c r="AC30" s="106"/>
      <c r="AD30" s="106"/>
    </row>
    <row r="31" spans="1:30" ht="12.5" hidden="1">
      <c r="A31" s="225"/>
      <c r="B31" s="223"/>
      <c r="C31" s="226"/>
      <c r="D31" s="223"/>
      <c r="E31" s="241"/>
      <c r="F31" s="232"/>
      <c r="G31" s="223"/>
      <c r="H31" s="223"/>
      <c r="I31" s="223" t="s">
        <v>416</v>
      </c>
      <c r="J31" s="223"/>
      <c r="K31" s="223"/>
      <c r="L31" s="223"/>
      <c r="M31" s="223"/>
      <c r="N31" s="223"/>
      <c r="O31" s="223"/>
      <c r="P31" s="223"/>
      <c r="Q31" s="223"/>
      <c r="AC31" s="106"/>
      <c r="AD31" s="106"/>
    </row>
    <row r="32" spans="1:30" s="5" customFormat="1" ht="15.5">
      <c r="A32" s="100" t="s">
        <v>1308</v>
      </c>
      <c r="B32" s="102"/>
      <c r="C32" s="102"/>
      <c r="D32" s="41"/>
      <c r="E32" s="41"/>
      <c r="F32" s="41"/>
      <c r="G32" s="102"/>
      <c r="H32" s="102"/>
      <c r="I32" s="102"/>
      <c r="J32" s="41"/>
      <c r="K32" s="41"/>
      <c r="L32" s="41"/>
      <c r="M32" s="41"/>
      <c r="N32" s="41"/>
      <c r="O32" s="133"/>
      <c r="Q32" s="224"/>
      <c r="AC32" s="104"/>
      <c r="AD32" s="104"/>
    </row>
    <row r="33" spans="1:30" ht="14.25" customHeight="1">
      <c r="A33" s="49"/>
      <c r="B33" s="94" t="str">
        <f>'Sec. A-C DSH Year Data'!B33</f>
        <v>Questions 1-3, below, should be answered in the accordance with Sec. 1923(d) of the Social Security Act.</v>
      </c>
      <c r="C33" s="49"/>
      <c r="D33" s="49"/>
      <c r="E33" s="49"/>
      <c r="F33" s="49"/>
      <c r="G33" s="49"/>
      <c r="H33" s="49"/>
      <c r="I33" s="49"/>
      <c r="J33" s="49"/>
      <c r="K33" s="49"/>
      <c r="Q33" s="223"/>
      <c r="AC33" s="106"/>
      <c r="AD33" s="106"/>
    </row>
    <row r="34" spans="1:30" ht="39">
      <c r="A34" s="107"/>
      <c r="B34" s="122" t="str">
        <f>'Sec. A-C DSH Year Data'!B34</f>
        <v>During the DSH Examination Year:</v>
      </c>
      <c r="C34" s="108"/>
      <c r="E34" s="110"/>
      <c r="F34" s="120"/>
      <c r="H34" s="25"/>
      <c r="I34" s="105" t="str">
        <f>'Sec. A-C DSH Year Data'!I34</f>
        <v>DSH Examination Year (07/01/21 - 06/30/22)</v>
      </c>
      <c r="J34" s="120"/>
      <c r="K34" s="49"/>
      <c r="Q34" s="223"/>
      <c r="AC34" s="106" t="s">
        <v>54</v>
      </c>
      <c r="AD34" s="106"/>
    </row>
    <row r="35" spans="1:30" ht="15" customHeight="1">
      <c r="A35" s="124">
        <f>'Sec. A-C DSH Year Data'!A35</f>
        <v>1</v>
      </c>
      <c r="B35" s="108" t="s">
        <v>77</v>
      </c>
      <c r="C35" s="108"/>
      <c r="E35" s="110"/>
      <c r="F35" s="120"/>
      <c r="G35" s="23"/>
      <c r="H35" s="25"/>
      <c r="I35" s="274" t="str">
        <f>OBYes</f>
        <v>Yes</v>
      </c>
      <c r="J35" s="120"/>
      <c r="K35" s="49"/>
      <c r="Q35" s="223" t="s">
        <v>504</v>
      </c>
      <c r="AC35" s="106" t="s">
        <v>55</v>
      </c>
      <c r="AD35" s="106"/>
    </row>
    <row r="36" spans="1:30" ht="15" customHeight="1">
      <c r="A36" s="124"/>
      <c r="B36" s="108" t="s">
        <v>78</v>
      </c>
      <c r="C36" s="108"/>
      <c r="E36" s="110"/>
      <c r="F36" s="120"/>
      <c r="J36" s="120"/>
      <c r="K36" s="49"/>
      <c r="Q36" s="223"/>
      <c r="AC36" s="106" t="s">
        <v>56</v>
      </c>
      <c r="AD36" s="106"/>
    </row>
    <row r="37" spans="1:30" ht="15" customHeight="1">
      <c r="A37" s="124"/>
      <c r="B37" s="108" t="s">
        <v>26</v>
      </c>
      <c r="C37" s="108"/>
      <c r="E37" s="110"/>
      <c r="F37" s="120"/>
      <c r="H37" s="25"/>
      <c r="I37" s="25"/>
      <c r="J37" s="120"/>
      <c r="K37" s="49"/>
      <c r="Q37" s="223"/>
      <c r="AC37" s="106" t="s">
        <v>57</v>
      </c>
      <c r="AD37" s="106"/>
    </row>
    <row r="38" spans="1:30" ht="15" customHeight="1">
      <c r="A38" s="124"/>
      <c r="B38" s="108" t="s">
        <v>157</v>
      </c>
      <c r="C38" s="108"/>
      <c r="E38" s="110"/>
      <c r="F38" s="120"/>
      <c r="J38" s="120"/>
      <c r="K38" s="49"/>
      <c r="Q38" s="223"/>
      <c r="AC38" s="106" t="s">
        <v>58</v>
      </c>
      <c r="AD38" s="106"/>
    </row>
    <row r="39" spans="1:30" ht="15" customHeight="1">
      <c r="A39" s="124">
        <f>'Sec. A-C DSH Year Data'!A39</f>
        <v>2</v>
      </c>
      <c r="B39" s="108" t="s">
        <v>115</v>
      </c>
      <c r="C39" s="108"/>
      <c r="E39" s="110"/>
      <c r="F39" s="120"/>
      <c r="H39" s="25"/>
      <c r="I39" s="274" t="str">
        <f>OBExempt1Yes</f>
        <v>No</v>
      </c>
      <c r="J39" s="120"/>
      <c r="K39" s="49"/>
      <c r="Q39" s="223" t="s">
        <v>505</v>
      </c>
      <c r="AC39" s="106" t="s">
        <v>59</v>
      </c>
      <c r="AD39" s="106"/>
    </row>
    <row r="40" spans="1:30" ht="15" customHeight="1">
      <c r="A40" s="124" t="s">
        <v>114</v>
      </c>
      <c r="B40" s="108" t="s">
        <v>31</v>
      </c>
      <c r="C40" s="108"/>
      <c r="E40" s="110"/>
      <c r="F40" s="120"/>
      <c r="J40" s="120"/>
      <c r="K40" s="49"/>
      <c r="Q40" s="223"/>
      <c r="AC40" s="106" t="s">
        <v>60</v>
      </c>
      <c r="AD40" s="106"/>
    </row>
    <row r="41" spans="1:30" ht="15" customHeight="1">
      <c r="A41" s="124">
        <f>'Sec. A-C DSH Year Data'!A41</f>
        <v>3</v>
      </c>
      <c r="B41" s="108" t="s">
        <v>128</v>
      </c>
      <c r="C41" s="108"/>
      <c r="E41" s="110"/>
      <c r="F41" s="120"/>
      <c r="H41" s="25"/>
      <c r="I41" s="274" t="str">
        <f>OBExempt2Yes</f>
        <v>No</v>
      </c>
      <c r="J41" s="120"/>
      <c r="K41" s="49"/>
      <c r="Q41" s="223" t="s">
        <v>506</v>
      </c>
      <c r="AC41" s="106" t="s">
        <v>61</v>
      </c>
      <c r="AD41" s="106"/>
    </row>
    <row r="42" spans="1:30" ht="15" customHeight="1">
      <c r="A42" s="138"/>
      <c r="B42" s="108" t="s">
        <v>27</v>
      </c>
      <c r="C42" s="108"/>
      <c r="E42" s="110"/>
      <c r="F42" s="120"/>
      <c r="G42" s="25"/>
      <c r="H42" s="25"/>
      <c r="J42" s="120"/>
      <c r="K42" s="49"/>
      <c r="Q42" s="223"/>
      <c r="AC42" s="106" t="s">
        <v>62</v>
      </c>
      <c r="AD42" s="106"/>
    </row>
    <row r="43" spans="1:30" ht="15" customHeight="1">
      <c r="A43" s="138"/>
      <c r="B43" s="108" t="s">
        <v>137</v>
      </c>
      <c r="C43" s="108"/>
      <c r="E43" s="110"/>
      <c r="F43" s="120"/>
      <c r="J43" s="120"/>
      <c r="K43" s="49"/>
      <c r="Q43" s="223"/>
      <c r="AC43" s="106" t="s">
        <v>63</v>
      </c>
      <c r="AD43" s="106"/>
    </row>
    <row r="44" spans="1:30" ht="15" customHeight="1">
      <c r="A44" s="138"/>
      <c r="B44" s="108"/>
      <c r="C44" s="108"/>
      <c r="E44" s="110"/>
      <c r="F44" s="120"/>
      <c r="J44" s="120"/>
      <c r="K44" s="49"/>
      <c r="Q44" s="223"/>
      <c r="AC44" s="106"/>
      <c r="AD44" s="106"/>
    </row>
    <row r="45" spans="1:30" ht="15" customHeight="1">
      <c r="A45" s="124" t="str">
        <f>'Sec. A-C DSH Year Data'!A45</f>
        <v>3a.</v>
      </c>
      <c r="B45" s="108" t="s">
        <v>180</v>
      </c>
      <c r="C45" s="108"/>
      <c r="E45" s="110"/>
      <c r="F45" s="120"/>
      <c r="I45" s="274" t="str">
        <f>OpenAsOf_Exam</f>
        <v>Yes</v>
      </c>
      <c r="J45" s="120"/>
      <c r="K45" s="49"/>
      <c r="Q45" s="223" t="s">
        <v>507</v>
      </c>
      <c r="AC45" s="106"/>
      <c r="AD45" s="106"/>
    </row>
    <row r="46" spans="1:30" ht="15" customHeight="1">
      <c r="A46" s="124"/>
      <c r="B46" s="108"/>
      <c r="C46" s="108"/>
      <c r="E46" s="110"/>
      <c r="F46" s="120"/>
      <c r="J46" s="120"/>
      <c r="K46" s="49"/>
      <c r="Q46" s="223"/>
      <c r="AC46" s="106"/>
      <c r="AD46" s="106"/>
    </row>
    <row r="47" spans="1:30" ht="15" customHeight="1">
      <c r="A47" s="124" t="str">
        <f>'Sec. A-C DSH Year Data'!A47</f>
        <v>3b.</v>
      </c>
      <c r="B47" s="108" t="s">
        <v>181</v>
      </c>
      <c r="C47" s="108"/>
      <c r="E47" s="110"/>
      <c r="F47" s="120"/>
      <c r="I47" s="275">
        <f>IF(OR(OpenDate_Exam="",OpenDate_Exam=0),"",OpenDate_Exam)</f>
        <v>24272</v>
      </c>
      <c r="J47" s="120"/>
      <c r="K47" s="49"/>
      <c r="Q47" s="223" t="s">
        <v>508</v>
      </c>
      <c r="AC47" s="106"/>
      <c r="AD47" s="106"/>
    </row>
    <row r="48" spans="1:30" ht="15" customHeight="1">
      <c r="A48" s="124"/>
      <c r="B48" s="108"/>
      <c r="C48" s="108"/>
      <c r="E48" s="110"/>
      <c r="F48" s="120"/>
      <c r="J48" s="120"/>
      <c r="K48" s="49"/>
      <c r="Q48" s="223"/>
      <c r="AC48" s="106"/>
      <c r="AD48" s="106"/>
    </row>
    <row r="49" spans="1:30" ht="14.25" hidden="1" customHeight="1">
      <c r="A49" s="139"/>
      <c r="B49" s="94" t="str">
        <f>'Sec. A-C DSH Year Data'!B49</f>
        <v>Questions 4-6, below, should be answered in the accordance with Sec. 1923(d) of the Social Security Act.</v>
      </c>
      <c r="C49" s="49"/>
      <c r="D49" s="49"/>
      <c r="E49" s="49"/>
      <c r="F49" s="49"/>
      <c r="G49" s="49"/>
      <c r="H49" s="49"/>
      <c r="I49" s="49"/>
      <c r="J49" s="49"/>
      <c r="K49" s="49"/>
      <c r="Q49" s="223"/>
      <c r="AC49" s="106"/>
      <c r="AD49" s="106"/>
    </row>
    <row r="50" spans="1:30" ht="26" hidden="1">
      <c r="A50" s="124"/>
      <c r="B50" s="122" t="str">
        <f>'Sec. A-C DSH Year Data'!B50</f>
        <v>During the Interim DSH Payment Year:</v>
      </c>
      <c r="C50" s="108"/>
      <c r="E50" s="110"/>
      <c r="F50" s="120"/>
      <c r="H50" s="25"/>
      <c r="I50" s="105" t="str">
        <f>'Sec. A-C DSH Year Data'!I50</f>
        <v>DSH Payment Year (07/01/20 - 06/30/21)</v>
      </c>
      <c r="J50" s="120"/>
      <c r="K50" s="49"/>
      <c r="Q50" s="223"/>
      <c r="AC50" s="106" t="s">
        <v>54</v>
      </c>
      <c r="AD50" s="106"/>
    </row>
    <row r="51" spans="1:30" ht="15" hidden="1" customHeight="1">
      <c r="A51" s="124">
        <f>'Sec. A-C DSH Year Data'!A51</f>
        <v>4</v>
      </c>
      <c r="B51" s="108" t="str">
        <f>'Sec. A-C DSH Year Data'!B51</f>
        <v>Does the hospital have at least two obstetricians who have staff privileges at the hospital who have agreed to</v>
      </c>
      <c r="C51" s="108"/>
      <c r="E51" s="110"/>
      <c r="F51" s="120"/>
      <c r="G51" s="23"/>
      <c r="H51" s="25"/>
      <c r="I51" s="274">
        <f>OBYes_Payment</f>
        <v>0</v>
      </c>
      <c r="J51" s="120"/>
      <c r="K51" s="49"/>
      <c r="Q51" s="223" t="s">
        <v>509</v>
      </c>
      <c r="AC51" s="106" t="s">
        <v>55</v>
      </c>
      <c r="AD51" s="106"/>
    </row>
    <row r="52" spans="1:30" ht="15" hidden="1" customHeight="1">
      <c r="A52" s="124"/>
      <c r="B52" s="108" t="str">
        <f>'Sec. A-C DSH Year Data'!B52</f>
        <v>provide obstetric services to Medicaid-eligible individuals during the DSH year?  (In the case of a hospital</v>
      </c>
      <c r="C52" s="108"/>
      <c r="E52" s="110"/>
      <c r="F52" s="120"/>
      <c r="J52" s="120"/>
      <c r="K52" s="49"/>
      <c r="Q52" s="223"/>
      <c r="AC52" s="106" t="s">
        <v>56</v>
      </c>
      <c r="AD52" s="106"/>
    </row>
    <row r="53" spans="1:30" ht="15" hidden="1" customHeight="1">
      <c r="A53" s="124"/>
      <c r="B53" s="108" t="str">
        <f>'Sec. A-C DSH Year Data'!B53</f>
        <v xml:space="preserve">located in a rural area, the term "obstetrician" includes any physician with staff privileges at the </v>
      </c>
      <c r="C53" s="108"/>
      <c r="E53" s="110"/>
      <c r="F53" s="120"/>
      <c r="H53" s="25"/>
      <c r="I53" s="25"/>
      <c r="J53" s="120"/>
      <c r="K53" s="49"/>
      <c r="Q53" s="223"/>
      <c r="AC53" s="106" t="s">
        <v>57</v>
      </c>
      <c r="AD53" s="106"/>
    </row>
    <row r="54" spans="1:30" ht="15" hidden="1" customHeight="1">
      <c r="A54" s="124"/>
      <c r="B54" s="108" t="str">
        <f>'Sec. A-C DSH Year Data'!B54</f>
        <v xml:space="preserve">hospital to perform nonemergency obstetric procedures.)  </v>
      </c>
      <c r="C54" s="108"/>
      <c r="E54" s="110"/>
      <c r="F54" s="120"/>
      <c r="J54" s="120"/>
      <c r="K54" s="49"/>
      <c r="Q54" s="223"/>
      <c r="AC54" s="106" t="s">
        <v>58</v>
      </c>
      <c r="AD54" s="106"/>
    </row>
    <row r="55" spans="1:30" ht="9" hidden="1" customHeight="1">
      <c r="A55" s="124"/>
      <c r="B55" s="108"/>
      <c r="C55" s="108"/>
      <c r="E55" s="110"/>
      <c r="F55" s="120"/>
      <c r="J55" s="120"/>
      <c r="K55" s="49"/>
      <c r="Q55" s="223"/>
      <c r="AC55" s="106"/>
      <c r="AD55" s="106"/>
    </row>
    <row r="56" spans="1:30" ht="14.25" hidden="1" customHeight="1">
      <c r="A56" s="242"/>
      <c r="B56" s="226" t="s">
        <v>450</v>
      </c>
      <c r="C56" s="226"/>
      <c r="D56" s="223"/>
      <c r="E56" s="222"/>
      <c r="F56" s="232"/>
      <c r="G56" s="238" t="s">
        <v>451</v>
      </c>
      <c r="H56" s="223"/>
      <c r="I56" s="223" t="s">
        <v>452</v>
      </c>
      <c r="J56" s="232"/>
      <c r="K56" s="223"/>
      <c r="L56" s="223"/>
      <c r="M56" s="223"/>
      <c r="N56" s="223"/>
      <c r="O56" s="223"/>
      <c r="P56" s="223"/>
      <c r="Q56" s="223"/>
      <c r="AC56" s="106"/>
      <c r="AD56" s="106"/>
    </row>
    <row r="57" spans="1:30" ht="15" hidden="1" customHeight="1">
      <c r="A57" s="124"/>
      <c r="B57" s="108" t="str">
        <f>'Sec. A-C DSH Year Data'!B57</f>
        <v>List the Names of the two Obstetricians (or case of rural hospital, Physicians) who have agreed to perform OB services:</v>
      </c>
      <c r="C57" s="108"/>
      <c r="E57" s="110"/>
      <c r="F57" s="120"/>
      <c r="J57" s="120"/>
      <c r="O57" s="47"/>
      <c r="Q57" s="223"/>
      <c r="AC57" s="106"/>
      <c r="AD57" s="106"/>
    </row>
    <row r="58" spans="1:30" ht="15" hidden="1" customHeight="1">
      <c r="A58" s="124"/>
      <c r="B58" s="431">
        <f>'Sec. A-C DSH Year Data'!B58</f>
        <v>0</v>
      </c>
      <c r="C58" s="432"/>
      <c r="D58" s="432"/>
      <c r="E58" s="433"/>
      <c r="F58" s="120"/>
      <c r="J58" s="120"/>
      <c r="K58" s="49"/>
      <c r="Q58" s="223" t="s">
        <v>510</v>
      </c>
      <c r="AC58" s="106"/>
      <c r="AD58" s="106"/>
    </row>
    <row r="59" spans="1:30" ht="15" hidden="1" customHeight="1">
      <c r="A59" s="124"/>
      <c r="B59" s="431">
        <f>'Sec. A-C DSH Year Data'!B59</f>
        <v>0</v>
      </c>
      <c r="C59" s="432"/>
      <c r="D59" s="432"/>
      <c r="E59" s="433"/>
      <c r="F59" s="120"/>
      <c r="J59" s="120"/>
      <c r="K59" s="49"/>
      <c r="Q59" s="223" t="s">
        <v>511</v>
      </c>
      <c r="AC59" s="106"/>
      <c r="AD59" s="106"/>
    </row>
    <row r="60" spans="1:30" ht="8.25" hidden="1" customHeight="1">
      <c r="A60" s="124"/>
      <c r="B60" s="108"/>
      <c r="C60" s="108"/>
      <c r="E60" s="110"/>
      <c r="F60" s="120"/>
      <c r="J60" s="120"/>
      <c r="K60" s="49"/>
      <c r="Q60" s="223"/>
      <c r="AC60" s="106"/>
      <c r="AD60" s="106"/>
    </row>
    <row r="61" spans="1:30" ht="15" hidden="1" customHeight="1">
      <c r="A61" s="124">
        <f>'Sec. A-C DSH Year Data'!A61</f>
        <v>5</v>
      </c>
      <c r="B61" s="108" t="str">
        <f>'Sec. A-C DSH Year Data'!B61</f>
        <v xml:space="preserve">Is the hospital exempt from the requirement listed under #1 above because the hospital's </v>
      </c>
      <c r="C61" s="108"/>
      <c r="E61" s="110"/>
      <c r="F61" s="120"/>
      <c r="H61" s="25"/>
      <c r="I61" s="274">
        <f>OBExempt1Yes_Payment</f>
        <v>0</v>
      </c>
      <c r="J61" s="120"/>
      <c r="K61" s="49"/>
      <c r="Q61" s="223" t="s">
        <v>512</v>
      </c>
      <c r="AC61" s="106" t="s">
        <v>59</v>
      </c>
      <c r="AD61" s="106"/>
    </row>
    <row r="62" spans="1:30" ht="15" hidden="1" customHeight="1">
      <c r="A62" s="124" t="s">
        <v>114</v>
      </c>
      <c r="B62" s="108" t="str">
        <f>'Sec. A-C DSH Year Data'!B62</f>
        <v xml:space="preserve">inpatients are predominantly under 18 years of age? </v>
      </c>
      <c r="C62" s="108"/>
      <c r="E62" s="110"/>
      <c r="F62" s="120"/>
      <c r="J62" s="120"/>
      <c r="K62" s="49"/>
      <c r="Q62" s="223"/>
      <c r="AC62" s="106" t="s">
        <v>60</v>
      </c>
      <c r="AD62" s="106"/>
    </row>
    <row r="63" spans="1:30" ht="15" hidden="1" customHeight="1">
      <c r="A63" s="124">
        <f>'Sec. A-C DSH Year Data'!A63</f>
        <v>6</v>
      </c>
      <c r="B63" s="108" t="str">
        <f>'Sec. A-C DSH Year Data'!B63</f>
        <v>Is the hospital exempt from the requirement listed under #1 above because it did not offer non-</v>
      </c>
      <c r="C63" s="108"/>
      <c r="E63" s="110"/>
      <c r="F63" s="120"/>
      <c r="H63" s="25"/>
      <c r="I63" s="274">
        <f>OBExempt2Yes_Payment</f>
        <v>0</v>
      </c>
      <c r="J63" s="120"/>
      <c r="K63" s="49"/>
      <c r="Q63" s="223" t="s">
        <v>513</v>
      </c>
      <c r="AC63" s="106" t="s">
        <v>61</v>
      </c>
      <c r="AD63" s="106"/>
    </row>
    <row r="64" spans="1:30" ht="15" hidden="1" customHeight="1">
      <c r="A64" s="138"/>
      <c r="B64" s="108" t="str">
        <f>'Sec. A-C DSH Year Data'!B64</f>
        <v>emergency obstetric services to the general population when federal Medicaid DSH regulations</v>
      </c>
      <c r="C64" s="108"/>
      <c r="E64" s="110"/>
      <c r="F64" s="120"/>
      <c r="G64" s="25"/>
      <c r="H64" s="25"/>
      <c r="J64" s="120"/>
      <c r="K64" s="49"/>
      <c r="Q64" s="223"/>
      <c r="AC64" s="106" t="s">
        <v>62</v>
      </c>
      <c r="AD64" s="106"/>
    </row>
    <row r="65" spans="1:30" ht="15" hidden="1" customHeight="1">
      <c r="A65" s="138"/>
      <c r="B65" s="108" t="str">
        <f>'Sec. A-C DSH Year Data'!B65</f>
        <v xml:space="preserve">were enacted on December 22, 1987?  </v>
      </c>
      <c r="C65" s="108"/>
      <c r="E65" s="110"/>
      <c r="F65" s="120"/>
      <c r="J65" s="120"/>
      <c r="K65" s="49"/>
      <c r="Q65" s="223"/>
      <c r="AC65" s="106" t="s">
        <v>63</v>
      </c>
      <c r="AD65" s="106"/>
    </row>
    <row r="66" spans="1:30" ht="9" hidden="1" customHeight="1">
      <c r="A66" s="124"/>
      <c r="B66" s="108"/>
      <c r="C66" s="108"/>
      <c r="E66" s="110"/>
      <c r="F66" s="120"/>
      <c r="J66" s="120"/>
      <c r="K66" s="49"/>
      <c r="Q66" s="223"/>
      <c r="AC66" s="106"/>
      <c r="AD66" s="106"/>
    </row>
    <row r="67" spans="1:30" ht="15" hidden="1" customHeight="1">
      <c r="A67" s="124"/>
      <c r="B67" s="108" t="s">
        <v>178</v>
      </c>
      <c r="C67" s="108"/>
      <c r="E67" s="110"/>
      <c r="F67" s="120"/>
      <c r="G67" s="47" t="s">
        <v>349</v>
      </c>
      <c r="I67" s="47" t="s">
        <v>350</v>
      </c>
      <c r="J67" s="120"/>
      <c r="K67" s="49"/>
      <c r="Q67" s="223"/>
      <c r="AC67" s="106"/>
      <c r="AD67" s="106"/>
    </row>
    <row r="68" spans="1:30" ht="15" hidden="1" customHeight="1">
      <c r="A68" s="124"/>
      <c r="B68" s="438">
        <f>'Sec. A-C DSH Year Data'!B68</f>
        <v>0</v>
      </c>
      <c r="C68" s="437"/>
      <c r="D68" s="437"/>
      <c r="E68" s="439"/>
      <c r="F68" s="120"/>
      <c r="G68" s="276">
        <f>'Sec. A-C DSH Year Data'!G68</f>
        <v>0</v>
      </c>
      <c r="I68" s="276">
        <f>'Sec. A-C DSH Year Data'!I68</f>
        <v>0</v>
      </c>
      <c r="J68" s="120"/>
      <c r="K68" s="49"/>
      <c r="Q68" s="223" t="s">
        <v>514</v>
      </c>
      <c r="AC68" s="106"/>
      <c r="AD68" s="106"/>
    </row>
    <row r="69" spans="1:30" ht="15" hidden="1" customHeight="1">
      <c r="A69" s="124"/>
      <c r="B69" s="438">
        <f>'Sec. A-C DSH Year Data'!B69</f>
        <v>0</v>
      </c>
      <c r="C69" s="437"/>
      <c r="D69" s="437"/>
      <c r="E69" s="439"/>
      <c r="F69" s="120"/>
      <c r="G69" s="276">
        <f>'Sec. A-C DSH Year Data'!G69</f>
        <v>0</v>
      </c>
      <c r="I69" s="276">
        <f>'Sec. A-C DSH Year Data'!I69</f>
        <v>0</v>
      </c>
      <c r="J69" s="120"/>
      <c r="K69" s="49"/>
      <c r="Q69" s="223" t="s">
        <v>515</v>
      </c>
      <c r="AC69" s="106"/>
      <c r="AD69" s="106"/>
    </row>
    <row r="70" spans="1:30" ht="8.25" hidden="1" customHeight="1">
      <c r="A70" s="124"/>
      <c r="B70" s="108"/>
      <c r="C70" s="108"/>
      <c r="E70" s="110"/>
      <c r="F70" s="120"/>
      <c r="J70" s="120"/>
      <c r="K70" s="49"/>
      <c r="Q70" s="223"/>
      <c r="AC70" s="106"/>
      <c r="AD70" s="106"/>
    </row>
    <row r="71" spans="1:30" ht="15" hidden="1" customHeight="1">
      <c r="A71" s="138">
        <f>'Sec. A-C DSH Year Data'!A71</f>
        <v>7</v>
      </c>
      <c r="B71" s="138" t="str">
        <f>'Sec. A-C DSH Year Data'!B71</f>
        <v>Does the hospital provide a wide array of services, including services provided through an emergency department recognized by DQA</v>
      </c>
      <c r="C71" s="108"/>
      <c r="E71" s="110"/>
      <c r="F71" s="120"/>
      <c r="I71" s="274">
        <f>WI_ED_Qualification</f>
        <v>0</v>
      </c>
      <c r="J71" s="120"/>
      <c r="K71" s="49"/>
      <c r="Q71" s="223"/>
      <c r="AC71" s="106"/>
      <c r="AD71" s="106"/>
    </row>
    <row r="72" spans="1:30" ht="15" hidden="1" customHeight="1">
      <c r="B72" s="138" t="str">
        <f>'Sec. A-C DSH Year Data'!B72</f>
        <v>as outlined in §9230 of the approved state plan?</v>
      </c>
      <c r="C72" s="48"/>
      <c r="E72" s="126"/>
      <c r="F72" s="126"/>
      <c r="G72" s="127"/>
      <c r="H72" s="127"/>
      <c r="I72" s="127"/>
      <c r="J72" s="126"/>
      <c r="K72" s="126"/>
      <c r="Q72" s="223"/>
    </row>
    <row r="73" spans="1:30" ht="15" hidden="1" customHeight="1">
      <c r="B73" s="138"/>
      <c r="C73" s="48"/>
      <c r="E73" s="126"/>
      <c r="F73" s="126"/>
      <c r="G73" s="127"/>
      <c r="H73" s="127"/>
      <c r="I73" s="127"/>
      <c r="J73" s="126"/>
      <c r="K73" s="126"/>
      <c r="Q73" s="223"/>
    </row>
    <row r="74" spans="1:30" ht="12.5" hidden="1">
      <c r="A74" s="223"/>
      <c r="B74" s="233"/>
      <c r="C74" s="233"/>
      <c r="D74" s="223"/>
      <c r="E74" s="234"/>
      <c r="F74" s="234"/>
      <c r="G74" s="235"/>
      <c r="H74" s="235"/>
      <c r="I74" s="235" t="s">
        <v>416</v>
      </c>
      <c r="J74" s="234"/>
      <c r="K74" s="234"/>
      <c r="L74" s="223"/>
      <c r="M74" s="223"/>
      <c r="N74" s="223"/>
      <c r="O74" s="223"/>
      <c r="P74" s="223"/>
      <c r="Q74" s="223"/>
    </row>
    <row r="75" spans="1:30" s="5" customFormat="1" ht="15.5">
      <c r="A75" s="100" t="s">
        <v>119</v>
      </c>
      <c r="B75" s="41"/>
      <c r="C75" s="41"/>
      <c r="D75" s="41"/>
      <c r="E75" s="128"/>
      <c r="F75" s="128"/>
      <c r="G75" s="128"/>
      <c r="H75" s="128"/>
      <c r="I75" s="128"/>
      <c r="J75" s="128"/>
      <c r="K75" s="128"/>
      <c r="L75" s="128"/>
      <c r="M75" s="128"/>
      <c r="N75" s="128"/>
      <c r="O75" s="133"/>
      <c r="Q75" s="224"/>
    </row>
    <row r="76" spans="1:30" ht="12.5">
      <c r="A76" s="107"/>
      <c r="B76" s="393"/>
      <c r="C76" s="393"/>
      <c r="D76" s="393"/>
      <c r="E76" s="393"/>
      <c r="G76" s="130"/>
      <c r="H76" s="115"/>
      <c r="Q76" s="223"/>
    </row>
    <row r="77" spans="1:30" ht="13">
      <c r="A77" s="124">
        <f>'Sec. A-C DSH Year Data'!A77</f>
        <v>1</v>
      </c>
      <c r="B77" s="403" t="str">
        <f>'Sec. A-C DSH Year Data'!B77:E77</f>
        <v>Medicaid Supplemental Payments for Hospital Services DSH Year 07/01/2021 - 06/30/2022</v>
      </c>
      <c r="C77" s="403"/>
      <c r="D77" s="403"/>
      <c r="E77" s="403"/>
      <c r="H77" s="115"/>
      <c r="I77" s="305">
        <f>'Sec. A-C DSH Year Data'!I77</f>
        <v>20436343</v>
      </c>
      <c r="J77" s="115"/>
      <c r="K77" s="130"/>
      <c r="Q77" s="223" t="s">
        <v>516</v>
      </c>
    </row>
    <row r="78" spans="1:30" ht="13">
      <c r="A78" s="124"/>
      <c r="B78" s="131" t="str">
        <f>'Sec. A-C DSH Year Data'!B78</f>
        <v>(Should include UPL and non-claim specific payments paid based on the state fiscal year. However, DSH payments should NOT be included.)</v>
      </c>
      <c r="C78" s="108"/>
      <c r="Q78" s="223"/>
    </row>
    <row r="79" spans="1:30" ht="13">
      <c r="A79" s="124"/>
      <c r="B79" s="131"/>
      <c r="C79" s="108"/>
      <c r="Q79" s="223"/>
    </row>
    <row r="80" spans="1:30" ht="13">
      <c r="A80" s="124">
        <f>'Sec. A-C DSH Year Data'!A80</f>
        <v>2</v>
      </c>
      <c r="B80" s="403" t="str">
        <f>'Sec. A-C DSH Year Data'!B80:E80</f>
        <v>Medicaid Managed Care Supplemental Payments for hospital services for DSH Year 07/01/2021 - 06/30/2022</v>
      </c>
      <c r="C80" s="403"/>
      <c r="D80" s="403"/>
      <c r="E80" s="403"/>
      <c r="I80" s="305">
        <f>'Sec. A-C DSH Year Data'!I80</f>
        <v>0</v>
      </c>
      <c r="O80" s="47"/>
      <c r="Q80" s="223" t="s">
        <v>1178</v>
      </c>
    </row>
    <row r="81" spans="1:17" ht="30.65" customHeight="1">
      <c r="A81" s="124"/>
      <c r="B81" s="404" t="str">
        <f>'Sec. A-C DSH Year Data'!B81</f>
        <v>(Should include all non-claim specific payments for hospital services such as lump sum payments for full Medicaid pricing (FMP), supplementals, quality payments, bonus payments, capitation payments received by the hospital (not by the MCO), or other incentive payments.</v>
      </c>
      <c r="C81" s="404"/>
      <c r="D81" s="404"/>
      <c r="E81" s="404"/>
      <c r="F81" s="404"/>
      <c r="G81" s="404"/>
      <c r="H81" s="404"/>
      <c r="I81" s="404"/>
      <c r="O81" s="47"/>
      <c r="Q81" s="223"/>
    </row>
    <row r="82" spans="1:17" ht="15.65" customHeight="1">
      <c r="A82" s="124"/>
      <c r="B82" s="131" t="str">
        <f>'Sec. A-C DSH Year Data'!B82</f>
        <v>NOTE: Hospital portion of supplemental payments reported on DSH Survey Part II, Section E, Question 14 should be reported here if paid on a SFY basis.</v>
      </c>
      <c r="O82" s="47"/>
      <c r="Q82" s="223"/>
    </row>
    <row r="83" spans="1:17" ht="12.5">
      <c r="A83" s="124"/>
      <c r="Q83" s="223"/>
    </row>
    <row r="84" spans="1:17" ht="13">
      <c r="A84" s="124">
        <f>'Sec. A-C DSH Year Data'!A84</f>
        <v>3</v>
      </c>
      <c r="B84" s="403" t="str">
        <f>'Sec. A-C DSH Year Data'!B84:E84</f>
        <v>Total Medicaid and Medicaid Managed Care Non-Claims Payments for Hospital Services07/01/2021 - 06/30/2022</v>
      </c>
      <c r="C84" s="403"/>
      <c r="D84" s="403"/>
      <c r="E84" s="403"/>
      <c r="I84" s="347">
        <f>+I77+I80</f>
        <v>20436343</v>
      </c>
      <c r="J84" s="133"/>
      <c r="O84" s="47"/>
      <c r="Q84" s="223" t="s">
        <v>1179</v>
      </c>
    </row>
    <row r="85" spans="1:17" ht="12.5">
      <c r="Q85" s="223"/>
    </row>
    <row r="86" spans="1:17" s="5" customFormat="1" ht="15.5">
      <c r="A86" s="100" t="s">
        <v>9</v>
      </c>
      <c r="B86" s="41"/>
      <c r="C86" s="41"/>
      <c r="D86" s="41"/>
      <c r="E86" s="128"/>
      <c r="F86" s="41"/>
      <c r="G86" s="41"/>
      <c r="H86" s="41"/>
      <c r="I86" s="41"/>
      <c r="J86" s="41"/>
      <c r="K86" s="41"/>
      <c r="L86" s="41"/>
      <c r="M86" s="41"/>
      <c r="N86" s="41"/>
      <c r="O86" s="103"/>
      <c r="Q86" s="224"/>
    </row>
    <row r="87" spans="1:17" ht="18.75" customHeight="1">
      <c r="A87" s="132"/>
      <c r="B87" s="132"/>
      <c r="C87" s="132"/>
      <c r="I87" s="105" t="s">
        <v>107</v>
      </c>
      <c r="Q87" s="223"/>
    </row>
    <row r="88" spans="1:17" ht="19.149999999999999" customHeight="1">
      <c r="A88" s="124">
        <f>'Sec. A-C DSH Year Data'!A88</f>
        <v>1</v>
      </c>
      <c r="B88" s="133" t="s">
        <v>35</v>
      </c>
      <c r="C88" s="133"/>
      <c r="G88" s="48"/>
      <c r="I88" s="274" t="str">
        <f>RetainDSHYes</f>
        <v>Yes</v>
      </c>
      <c r="Q88" s="223" t="s">
        <v>517</v>
      </c>
    </row>
    <row r="89" spans="1:17" ht="13">
      <c r="A89" s="132"/>
      <c r="B89" s="133" t="s">
        <v>64</v>
      </c>
      <c r="C89" s="133"/>
      <c r="G89" s="48"/>
      <c r="K89" s="48"/>
      <c r="Q89" s="223"/>
    </row>
    <row r="90" spans="1:17" ht="13">
      <c r="B90" s="133" t="s">
        <v>36</v>
      </c>
      <c r="Q90" s="223"/>
    </row>
    <row r="91" spans="1:17" ht="13">
      <c r="B91" s="133" t="s">
        <v>65</v>
      </c>
      <c r="Q91" s="223"/>
    </row>
    <row r="92" spans="1:17" ht="13">
      <c r="B92" s="133"/>
      <c r="Q92" s="223"/>
    </row>
    <row r="93" spans="1:17" ht="12.5" hidden="1">
      <c r="A93" s="223"/>
      <c r="B93" s="223" t="s">
        <v>450</v>
      </c>
      <c r="C93" s="223"/>
      <c r="D93" s="223"/>
      <c r="E93" s="223"/>
      <c r="F93" s="223"/>
      <c r="G93" s="223"/>
      <c r="H93" s="223"/>
      <c r="I93" s="223"/>
      <c r="J93" s="223"/>
      <c r="K93" s="223"/>
      <c r="L93" s="223"/>
      <c r="M93" s="223"/>
      <c r="N93" s="223"/>
      <c r="O93" s="223"/>
      <c r="P93" s="223"/>
      <c r="Q93" s="223"/>
    </row>
    <row r="94" spans="1:17" ht="13">
      <c r="A94" s="88"/>
      <c r="B94" s="92" t="s">
        <v>108</v>
      </c>
      <c r="C94" s="88"/>
      <c r="D94" s="88"/>
      <c r="E94" s="88"/>
      <c r="F94" s="88"/>
      <c r="G94" s="88"/>
      <c r="H94" s="88"/>
      <c r="I94" s="88"/>
      <c r="J94" s="88"/>
      <c r="K94" s="88"/>
      <c r="L94" s="88"/>
      <c r="M94" s="88"/>
      <c r="N94" s="88"/>
      <c r="O94" s="88"/>
      <c r="P94" s="88"/>
      <c r="Q94" s="223"/>
    </row>
    <row r="95" spans="1:17" ht="17.5" customHeight="1">
      <c r="B95" s="434">
        <f>'Sec. A-C DSH Year Data'!B95</f>
        <v>0</v>
      </c>
      <c r="C95" s="434"/>
      <c r="D95" s="434"/>
      <c r="E95" s="434"/>
      <c r="F95" s="434"/>
      <c r="G95" s="434"/>
      <c r="H95" s="434"/>
      <c r="I95" s="434"/>
      <c r="J95" s="434"/>
      <c r="K95" s="434"/>
      <c r="L95" s="434"/>
      <c r="M95" s="434"/>
      <c r="N95" s="434"/>
      <c r="O95" s="133"/>
      <c r="Q95" s="223" t="s">
        <v>518</v>
      </c>
    </row>
    <row r="96" spans="1:17" ht="17.5" customHeight="1">
      <c r="B96" s="434">
        <f>'Sec. A-C DSH Year Data'!B96</f>
        <v>0</v>
      </c>
      <c r="C96" s="434"/>
      <c r="D96" s="434"/>
      <c r="E96" s="434"/>
      <c r="F96" s="434"/>
      <c r="G96" s="434"/>
      <c r="H96" s="434"/>
      <c r="I96" s="434"/>
      <c r="J96" s="434"/>
      <c r="K96" s="434"/>
      <c r="L96" s="434"/>
      <c r="M96" s="434"/>
      <c r="N96" s="434"/>
      <c r="Q96" s="223" t="s">
        <v>519</v>
      </c>
    </row>
    <row r="97" spans="1:17" ht="17.5" customHeight="1">
      <c r="B97" s="437">
        <f>'Sec. A-C DSH Year Data'!B97</f>
        <v>0</v>
      </c>
      <c r="C97" s="437"/>
      <c r="D97" s="437"/>
      <c r="E97" s="437"/>
      <c r="F97" s="437"/>
      <c r="G97" s="437"/>
      <c r="H97" s="437"/>
      <c r="I97" s="437"/>
      <c r="J97" s="437"/>
      <c r="K97" s="437"/>
      <c r="L97" s="437"/>
      <c r="M97" s="437"/>
      <c r="N97" s="437"/>
      <c r="Q97" s="223" t="s">
        <v>520</v>
      </c>
    </row>
    <row r="98" spans="1:17" ht="12.5">
      <c r="Q98" s="223"/>
    </row>
    <row r="99" spans="1:17" ht="13">
      <c r="B99" s="133" t="s">
        <v>13</v>
      </c>
      <c r="Q99" s="223"/>
    </row>
    <row r="100" spans="1:17" ht="108" customHeight="1">
      <c r="B100" s="383" t="str">
        <f>'Sec. A-C DSH Year Data'!B100</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383"/>
      <c r="D100" s="383"/>
      <c r="E100" s="383"/>
      <c r="F100" s="383"/>
      <c r="G100" s="383"/>
      <c r="H100" s="383"/>
      <c r="I100" s="383"/>
      <c r="J100" s="383"/>
      <c r="K100" s="383"/>
      <c r="Q100" s="223"/>
    </row>
    <row r="101" spans="1:17" ht="12.5">
      <c r="Q101" s="223"/>
    </row>
    <row r="102" spans="1:17" ht="12.5" hidden="1">
      <c r="A102" s="223"/>
      <c r="B102" s="223" t="s">
        <v>451</v>
      </c>
      <c r="C102" s="223"/>
      <c r="D102" s="223"/>
      <c r="E102" s="223" t="s">
        <v>452</v>
      </c>
      <c r="F102" s="223"/>
      <c r="G102" s="223"/>
      <c r="H102" s="223"/>
      <c r="I102" s="223"/>
      <c r="J102" s="223"/>
      <c r="K102" s="223" t="s">
        <v>453</v>
      </c>
      <c r="L102" s="223"/>
      <c r="M102" s="223"/>
      <c r="N102" s="223"/>
      <c r="O102" s="223"/>
      <c r="P102" s="223"/>
      <c r="Q102" s="223"/>
    </row>
    <row r="103" spans="1:17" ht="20.25" customHeight="1">
      <c r="B103" s="277">
        <f>Signature</f>
        <v>0</v>
      </c>
      <c r="E103" s="434" t="str">
        <f>Signature_Title</f>
        <v>Interim CFO</v>
      </c>
      <c r="F103" s="434"/>
      <c r="G103" s="434"/>
      <c r="K103" s="278" t="str">
        <f>IF(OR(Signature_Date="",Signature_Date=0),"",Signature_Date)</f>
        <v/>
      </c>
      <c r="O103" s="219"/>
      <c r="Q103" s="223" t="s">
        <v>521</v>
      </c>
    </row>
    <row r="104" spans="1:17" ht="12.5">
      <c r="B104" s="108" t="s">
        <v>21</v>
      </c>
      <c r="C104" s="108"/>
      <c r="E104" s="47" t="s">
        <v>22</v>
      </c>
      <c r="K104" s="108" t="s">
        <v>14</v>
      </c>
      <c r="Q104" s="223"/>
    </row>
    <row r="105" spans="1:17" ht="12.5">
      <c r="Q105" s="223"/>
    </row>
    <row r="106" spans="1:17" ht="12.5">
      <c r="B106" s="277" t="str">
        <f>Signature_Printed_Name</f>
        <v>Maxwell Kagan</v>
      </c>
      <c r="E106" s="434" t="str">
        <f>Signature_Telephone</f>
        <v>470-644-0065</v>
      </c>
      <c r="F106" s="434"/>
      <c r="G106" s="434"/>
      <c r="K106" s="434" t="str">
        <f>Signature_EMail</f>
        <v>Maxwell.Kagan@wellstar.org</v>
      </c>
      <c r="L106" s="434"/>
      <c r="M106" s="434"/>
      <c r="Q106" s="223" t="s">
        <v>522</v>
      </c>
    </row>
    <row r="107" spans="1:17" ht="13">
      <c r="B107" s="108" t="s">
        <v>123</v>
      </c>
      <c r="E107" s="108" t="s">
        <v>124</v>
      </c>
      <c r="G107" s="88"/>
      <c r="I107" s="133"/>
      <c r="K107" s="133" t="s">
        <v>125</v>
      </c>
      <c r="Q107" s="223"/>
    </row>
    <row r="108" spans="1:17" ht="13" thickBot="1">
      <c r="A108" s="134"/>
      <c r="B108" s="134"/>
      <c r="C108" s="134"/>
      <c r="D108" s="134"/>
      <c r="E108" s="134"/>
      <c r="F108" s="134"/>
      <c r="G108" s="134"/>
      <c r="H108" s="134"/>
      <c r="I108" s="134"/>
      <c r="J108" s="134"/>
      <c r="K108" s="134"/>
      <c r="L108" s="134"/>
      <c r="M108" s="134"/>
      <c r="N108" s="134"/>
      <c r="O108" s="140"/>
      <c r="Q108" s="223"/>
    </row>
    <row r="109" spans="1:17" ht="13">
      <c r="B109" s="133" t="s">
        <v>66</v>
      </c>
      <c r="Q109" s="223"/>
    </row>
    <row r="110" spans="1:17" ht="7.15" customHeight="1">
      <c r="Q110" s="223"/>
    </row>
    <row r="111" spans="1:17" ht="15.75" hidden="1" customHeight="1">
      <c r="A111" s="223"/>
      <c r="B111" s="223"/>
      <c r="C111" s="223" t="s">
        <v>454</v>
      </c>
      <c r="D111" s="223"/>
      <c r="E111" s="223"/>
      <c r="F111" s="223"/>
      <c r="G111" s="223"/>
      <c r="H111" s="223"/>
      <c r="I111" s="223"/>
      <c r="J111" s="223" t="s">
        <v>455</v>
      </c>
      <c r="K111" s="223"/>
      <c r="L111" s="223"/>
      <c r="M111" s="223"/>
      <c r="N111" s="223"/>
      <c r="O111" s="223"/>
      <c r="P111" s="223"/>
      <c r="Q111" s="223"/>
    </row>
    <row r="112" spans="1:17" ht="13">
      <c r="B112" s="109" t="s">
        <v>67</v>
      </c>
      <c r="I112" s="109" t="s">
        <v>68</v>
      </c>
      <c r="O112" s="133"/>
      <c r="Q112" s="223"/>
    </row>
    <row r="113" spans="2:17" ht="12.5">
      <c r="B113" s="48" t="s">
        <v>12</v>
      </c>
      <c r="C113" s="435" t="str">
        <f>'Sec. A-C DSH Year Data'!C113</f>
        <v>Natalie Reynolds</v>
      </c>
      <c r="D113" s="435"/>
      <c r="E113" s="435"/>
      <c r="F113" s="436"/>
      <c r="I113" s="48" t="s">
        <v>12</v>
      </c>
      <c r="J113" s="435" t="str">
        <f>'Sec. A-C DSH Year Data'!J113</f>
        <v>Jill Thompson</v>
      </c>
      <c r="K113" s="435"/>
      <c r="L113" s="435"/>
      <c r="M113" s="436"/>
      <c r="Q113" s="223" t="s">
        <v>523</v>
      </c>
    </row>
    <row r="114" spans="2:17" ht="12.5">
      <c r="B114" s="48" t="s">
        <v>22</v>
      </c>
      <c r="C114" s="435" t="str">
        <f>'Sec. A-C DSH Year Data'!C114</f>
        <v>Manager of Reimbursement</v>
      </c>
      <c r="D114" s="435"/>
      <c r="E114" s="435"/>
      <c r="F114" s="436"/>
      <c r="I114" s="48" t="s">
        <v>70</v>
      </c>
      <c r="J114" s="435" t="str">
        <f>'Sec. A-C DSH Year Data'!J114</f>
        <v>Manager</v>
      </c>
      <c r="K114" s="435"/>
      <c r="L114" s="435"/>
      <c r="M114" s="436"/>
      <c r="Q114" s="223" t="s">
        <v>524</v>
      </c>
    </row>
    <row r="115" spans="2:17" ht="12.5">
      <c r="B115" s="48" t="s">
        <v>23</v>
      </c>
      <c r="C115" s="435" t="str">
        <f>'Sec. A-C DSH Year Data'!C115</f>
        <v>706-828-6430</v>
      </c>
      <c r="D115" s="435"/>
      <c r="E115" s="435"/>
      <c r="F115" s="436"/>
      <c r="I115" s="48" t="s">
        <v>69</v>
      </c>
      <c r="J115" s="435" t="str">
        <f>'Sec. A-C DSH Year Data'!J115</f>
        <v xml:space="preserve">HORNE </v>
      </c>
      <c r="K115" s="435"/>
      <c r="L115" s="435"/>
      <c r="M115" s="436"/>
      <c r="Q115" s="223" t="s">
        <v>525</v>
      </c>
    </row>
    <row r="116" spans="2:17" ht="12.5">
      <c r="B116" s="48" t="s">
        <v>24</v>
      </c>
      <c r="C116" s="435" t="str">
        <f>'Sec. A-C DSH Year Data'!C116</f>
        <v>nareynolds@augusta.edu</v>
      </c>
      <c r="D116" s="435"/>
      <c r="E116" s="435"/>
      <c r="F116" s="436"/>
      <c r="I116" s="48" t="s">
        <v>23</v>
      </c>
      <c r="J116" s="435" t="str">
        <f>'Sec. A-C DSH Year Data'!J116</f>
        <v>225-341-3179</v>
      </c>
      <c r="K116" s="435"/>
      <c r="L116" s="435"/>
      <c r="M116" s="436"/>
      <c r="Q116" s="223" t="s">
        <v>526</v>
      </c>
    </row>
    <row r="117" spans="2:17" ht="12.5">
      <c r="B117" s="48" t="s">
        <v>81</v>
      </c>
      <c r="C117" s="435" t="str">
        <f>'Sec. A-C DSH Year Data'!C117</f>
        <v>1120 15th Street, Building O107, Suite 510</v>
      </c>
      <c r="D117" s="435"/>
      <c r="E117" s="435"/>
      <c r="F117" s="436"/>
      <c r="I117" s="48" t="s">
        <v>24</v>
      </c>
      <c r="J117" s="435" t="str">
        <f>'Sec. A-C DSH Year Data'!J117</f>
        <v>JillC.Thompson@horne.com</v>
      </c>
      <c r="K117" s="435"/>
      <c r="L117" s="435"/>
      <c r="M117" s="436"/>
      <c r="Q117" s="223" t="s">
        <v>527</v>
      </c>
    </row>
    <row r="118" spans="2:17" ht="12.5">
      <c r="B118" s="48" t="s">
        <v>82</v>
      </c>
      <c r="C118" s="435" t="str">
        <f>'Sec. A-C DSH Year Data'!C118</f>
        <v>Augusta, GA 30912</v>
      </c>
      <c r="D118" s="435"/>
      <c r="E118" s="435"/>
      <c r="F118" s="436"/>
      <c r="Q118" s="223" t="s">
        <v>896</v>
      </c>
    </row>
    <row r="119" spans="2:17" ht="12.5"/>
    <row r="120" spans="2:17" ht="12.5"/>
    <row r="121" spans="2:17" ht="12.5"/>
    <row r="122" spans="2:17" ht="12.5"/>
    <row r="123" spans="2:17" ht="12.5"/>
    <row r="124" spans="2:17" ht="12.5"/>
    <row r="125" spans="2:17" ht="12.5"/>
    <row r="126" spans="2:17" ht="12.5"/>
    <row r="127" spans="2:17" ht="12.5"/>
    <row r="128" spans="2:17" ht="12.5"/>
    <row r="129" ht="12.5"/>
    <row r="130" ht="12.5"/>
    <row r="131" ht="12.5"/>
    <row r="132" ht="12.5"/>
    <row r="133" ht="12.5"/>
    <row r="134" ht="12.5"/>
    <row r="135" ht="12.5"/>
    <row r="136" ht="12.5"/>
    <row r="137" ht="12.5"/>
    <row r="138" ht="12.5"/>
    <row r="139" ht="12.5"/>
    <row r="140" ht="12.5"/>
    <row r="141" ht="12.5"/>
    <row r="142" ht="12.5"/>
    <row r="143" ht="12.5"/>
    <row r="144" ht="12.5"/>
    <row r="145" ht="12.5"/>
    <row r="146" ht="12.5"/>
    <row r="147" ht="12.5"/>
    <row r="148" ht="12.5"/>
    <row r="149" ht="12.5"/>
    <row r="150" ht="12.5"/>
    <row r="151" ht="12.5"/>
    <row r="152" ht="12.5"/>
    <row r="153" ht="12.5"/>
    <row r="154" ht="12.5"/>
    <row r="155" ht="12.5"/>
    <row r="156" ht="12.5"/>
    <row r="157" ht="12.5"/>
    <row r="158" ht="12.5"/>
    <row r="159" ht="12.5"/>
    <row r="160" ht="12.5"/>
    <row r="161" ht="12.5"/>
    <row r="162" ht="12.5"/>
    <row r="163" ht="12.5"/>
    <row r="164" ht="12.5"/>
    <row r="165" ht="12.5"/>
    <row r="166" ht="12.5"/>
    <row r="167" ht="12.5"/>
    <row r="168" ht="12.5"/>
    <row r="169" ht="12.5"/>
    <row r="170" ht="12.5"/>
    <row r="171" ht="12.5"/>
    <row r="172" ht="12.5"/>
    <row r="173" ht="12.5"/>
    <row r="174" ht="12.5"/>
    <row r="175" ht="12.5"/>
    <row r="176" ht="12.5"/>
    <row r="177" ht="12.5"/>
    <row r="178" ht="12.5"/>
    <row r="179" ht="12.5"/>
    <row r="180" ht="12.5"/>
    <row r="181" ht="12.5"/>
    <row r="182" ht="12.5"/>
    <row r="183" ht="12.5"/>
    <row r="184" ht="12.5"/>
    <row r="185" ht="12.5"/>
    <row r="186" ht="12.5"/>
    <row r="187" ht="12.5"/>
    <row r="188" ht="12.5"/>
    <row r="189" ht="12.5"/>
    <row r="190" ht="12.5"/>
    <row r="191" ht="12.5"/>
    <row r="192" ht="12.5"/>
    <row r="193" ht="12.5"/>
    <row r="194" ht="12.5"/>
    <row r="195" ht="12.5"/>
    <row r="196" ht="12.5"/>
    <row r="197" ht="12.5"/>
    <row r="198" ht="12.5"/>
    <row r="199" ht="12.5"/>
    <row r="200" ht="12.5"/>
    <row r="201" ht="12.5" hidden="1"/>
    <row r="202" ht="12.5" hidden="1"/>
    <row r="203" ht="12.5" hidden="1"/>
    <row r="204" ht="12.5" hidden="1"/>
    <row r="205" ht="12.5" hidden="1"/>
    <row r="206" ht="12.5" hidden="1"/>
    <row r="207" ht="12.5" hidden="1"/>
    <row r="208" ht="12.5" hidden="1"/>
    <row r="209" ht="12.5" hidden="1"/>
    <row r="210" ht="12.5" hidden="1"/>
    <row r="211" ht="12.5" hidden="1"/>
    <row r="212" ht="12.5" hidden="1"/>
    <row r="213" ht="12.5" hidden="1"/>
    <row r="214" ht="12.5" hidden="1"/>
    <row r="215" ht="12.5" hidden="1"/>
    <row r="216" ht="12.5" hidden="1"/>
    <row r="217" ht="12.5" hidden="1"/>
    <row r="218" ht="12.5" hidden="1"/>
    <row r="219" ht="12.5" hidden="1"/>
    <row r="220" ht="12.5" hidden="1"/>
    <row r="221" ht="12.5" hidden="1"/>
    <row r="222" ht="12.5" hidden="1"/>
    <row r="223" ht="12.5" hidden="1"/>
    <row r="224" ht="12.5" hidden="1"/>
    <row r="225" ht="12.5" hidden="1"/>
    <row r="226" ht="12.5" hidden="1"/>
    <row r="227" ht="12.5" hidden="1"/>
    <row r="228" ht="12.5" hidden="1"/>
    <row r="229" ht="12.5" hidden="1"/>
    <row r="230" ht="12.5" hidden="1"/>
    <row r="231" ht="12.5" hidden="1"/>
    <row r="232" ht="12.5" hidden="1"/>
    <row r="233" ht="12.5" hidden="1"/>
    <row r="234" ht="12.5" hidden="1"/>
    <row r="235" ht="12.5" hidden="1"/>
    <row r="236" ht="12.5" hidden="1"/>
    <row r="237" ht="12.5" hidden="1"/>
    <row r="238" ht="12.5" hidden="1"/>
    <row r="239" ht="12.5" hidden="1"/>
    <row r="240" ht="12.5" hidden="1"/>
    <row r="241" ht="12.5" hidden="1"/>
    <row r="242" ht="12.5" hidden="1"/>
    <row r="243" ht="12.5" hidden="1"/>
    <row r="244" ht="12.5" hidden="1"/>
    <row r="245" ht="12.5" hidden="1"/>
    <row r="246" ht="12.5" hidden="1"/>
    <row r="247" ht="12.5" hidden="1"/>
    <row r="248" ht="12.5" hidden="1"/>
    <row r="249" ht="12.5" hidden="1"/>
    <row r="250" ht="12.5" hidden="1"/>
    <row r="251" ht="12.5" hidden="1"/>
    <row r="252" ht="12.5" hidden="1"/>
    <row r="253" ht="12.5" hidden="1"/>
    <row r="254" ht="12.5" hidden="1"/>
    <row r="255" ht="12.5" hidden="1"/>
    <row r="256" ht="12.5" hidden="1"/>
    <row r="257" ht="12.5" hidden="1"/>
    <row r="258" ht="12.5" hidden="1"/>
    <row r="259" ht="12.5" hidden="1"/>
    <row r="260" ht="12.5" hidden="1"/>
    <row r="261" ht="12.5" hidden="1"/>
    <row r="262" ht="12.5" hidden="1"/>
    <row r="263" ht="12.5" hidden="1"/>
    <row r="264" ht="12.5" hidden="1"/>
    <row r="265" ht="12.5" hidden="1"/>
    <row r="266" ht="12.5" hidden="1"/>
    <row r="267" ht="12.5" hidden="1"/>
    <row r="268" ht="12.5" hidden="1"/>
    <row r="269" ht="12.5" hidden="1"/>
    <row r="270" ht="12.5" hidden="1"/>
    <row r="271" ht="12.5" hidden="1"/>
    <row r="272" ht="12.5" hidden="1"/>
    <row r="273" ht="12.5" hidden="1"/>
    <row r="274" ht="12.5" hidden="1"/>
    <row r="275" ht="12.5" hidden="1"/>
    <row r="276" ht="12.5" hidden="1"/>
    <row r="277" ht="12.5" hidden="1"/>
    <row r="278" ht="12.5" hidden="1"/>
    <row r="279" ht="12.5" hidden="1"/>
    <row r="280" ht="12.5" hidden="1"/>
    <row r="281" ht="12.5" hidden="1"/>
    <row r="282" ht="12.5" hidden="1"/>
    <row r="283" ht="12.5" hidden="1"/>
    <row r="284" ht="12.5" hidden="1"/>
    <row r="285" ht="12.5" hidden="1"/>
    <row r="286" ht="12.5" hidden="1"/>
    <row r="287" ht="12.5" hidden="1"/>
    <row r="288" ht="12.5" hidden="1"/>
    <row r="289" ht="12.5" hidden="1"/>
    <row r="290" ht="12.5" hidden="1"/>
    <row r="291" ht="12.5" hidden="1"/>
  </sheetData>
  <sheetProtection algorithmName="SHA-512" hashValue="lUoRxHaJjFYj+LgIG9MgTeJJkeokXdnIiYQmF26Ua/DDowPRtfi2nYqQ9KqJovTaOfcsN6pTTG1PDFOzR3OY2g==" saltValue="xuSg4dS2bIuJk4Hv5d8d8Q==" spinCount="100000" sheet="1" objects="1" scenarios="1" formatCells="0"/>
  <mergeCells count="28">
    <mergeCell ref="C118:F118"/>
    <mergeCell ref="C115:F115"/>
    <mergeCell ref="J115:M115"/>
    <mergeCell ref="C116:F116"/>
    <mergeCell ref="J116:M116"/>
    <mergeCell ref="C117:F117"/>
    <mergeCell ref="B95:N95"/>
    <mergeCell ref="J117:M117"/>
    <mergeCell ref="B97:N97"/>
    <mergeCell ref="B100:K100"/>
    <mergeCell ref="B68:E68"/>
    <mergeCell ref="B69:E69"/>
    <mergeCell ref="C113:F113"/>
    <mergeCell ref="J113:M113"/>
    <mergeCell ref="B96:N96"/>
    <mergeCell ref="K106:M106"/>
    <mergeCell ref="C114:F114"/>
    <mergeCell ref="J114:M114"/>
    <mergeCell ref="E103:G103"/>
    <mergeCell ref="E106:G106"/>
    <mergeCell ref="B80:E80"/>
    <mergeCell ref="B81:I81"/>
    <mergeCell ref="B84:E84"/>
    <mergeCell ref="C9:G9"/>
    <mergeCell ref="B76:E76"/>
    <mergeCell ref="B77:E77"/>
    <mergeCell ref="B58:E58"/>
    <mergeCell ref="B59:E59"/>
  </mergeCells>
  <conditionalFormatting sqref="A49:I55 A57:I65 A56:D56 F56:I56">
    <cfRule type="expression" dxfId="8" priority="10" stopIfTrue="1">
      <formula>AND(State&lt;&gt;"Missouri",State&lt;&gt;"Wisconsin")</formula>
    </cfRule>
  </conditionalFormatting>
  <conditionalFormatting sqref="A65:I66">
    <cfRule type="expression" dxfId="7" priority="7" stopIfTrue="1">
      <formula>State&lt;&gt;"Missouri"</formula>
    </cfRule>
  </conditionalFormatting>
  <conditionalFormatting sqref="A67:XFD69">
    <cfRule type="expression" dxfId="6" priority="5">
      <formula>State&lt;&gt;"Louisiana"</formula>
    </cfRule>
  </conditionalFormatting>
  <conditionalFormatting sqref="A71:XFD73">
    <cfRule type="expression" dxfId="5" priority="1">
      <formula>State&lt;&gt;"Wisconsin"</formula>
    </cfRule>
  </conditionalFormatting>
  <conditionalFormatting sqref="B68:E69">
    <cfRule type="expression" dxfId="4" priority="6" stopIfTrue="1">
      <formula>AND(State="Missouri",Waiver_Response="Yes")</formula>
    </cfRule>
  </conditionalFormatting>
  <conditionalFormatting sqref="I51 B58:E59 I61 I63">
    <cfRule type="expression" dxfId="3" priority="9" stopIfTrue="1">
      <formula>AND(State="Missouri",Waiver_Response="Yes")</formula>
    </cfRule>
  </conditionalFormatting>
  <conditionalFormatting sqref="K57:O57">
    <cfRule type="expression" dxfId="2" priority="4" stopIfTrue="1">
      <formula>State&lt;&gt;"Missouri"</formula>
    </cfRule>
  </conditionalFormatting>
  <conditionalFormatting sqref="O75">
    <cfRule type="expression" dxfId="1" priority="3" stopIfTrue="1">
      <formula>State&lt;&gt;"Missouri"</formula>
    </cfRule>
  </conditionalFormatting>
  <conditionalFormatting sqref="O95">
    <cfRule type="expression" dxfId="0" priority="2" stopIfTrue="1">
      <formula>State&lt;&gt;"Missouri"</formula>
    </cfRule>
  </conditionalFormatting>
  <dataValidations count="2">
    <dataValidation type="date" operator="lessThanOrEqual" allowBlank="1" showInputMessage="1" showErrorMessage="1" sqref="C19 E19 E6:E8 C6:C7" xr:uid="{00000000-0002-0000-0C00-000000000000}">
      <formula1>73051</formula1>
    </dataValidation>
    <dataValidation type="whole" operator="lessThanOrEqual" allowBlank="1" showInputMessage="1" showErrorMessage="1" errorTitle="Error" error="Must be a whole number!" sqref="G76:H76 H77:K77 I80 I84" xr:uid="{00000000-0002-0000-0C00-000001000000}">
      <formula1>9.99999999999999E+37</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7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2" filterMode="1">
    <tabColor indexed="48"/>
    <pageSetUpPr fitToPage="1"/>
  </sheetPr>
  <dimension ref="A1:M5340"/>
  <sheetViews>
    <sheetView showGridLines="0" zoomScale="85" zoomScaleNormal="85" workbookViewId="0">
      <pane ySplit="8" topLeftCell="A9" activePane="bottomLeft" state="frozen"/>
      <selection activeCell="B20" sqref="B20"/>
      <selection pane="bottomLeft" activeCell="A30" sqref="A30"/>
    </sheetView>
  </sheetViews>
  <sheetFormatPr defaultColWidth="0" defaultRowHeight="12.5" zeroHeight="1"/>
  <cols>
    <col min="1" max="1" width="10.19921875" style="68" customWidth="1"/>
    <col min="2" max="2" width="42.69921875" style="68" customWidth="1"/>
    <col min="3" max="3" width="11.5" style="68" customWidth="1"/>
    <col min="4" max="4" width="58.69921875" style="68" customWidth="1"/>
    <col min="5" max="5" width="13.19921875" style="68" customWidth="1"/>
    <col min="6" max="6" width="33.5" style="68" customWidth="1"/>
    <col min="7" max="7" width="15.19921875" style="68" customWidth="1"/>
    <col min="8" max="8" width="41.5" style="68" customWidth="1"/>
    <col min="9" max="9" width="20.796875" style="68" customWidth="1"/>
    <col min="10" max="10" width="17.19921875" style="69" customWidth="1"/>
    <col min="11" max="11" width="19.19921875" style="69" customWidth="1"/>
    <col min="12" max="12" width="9.296875" style="54" hidden="1" customWidth="1"/>
    <col min="13" max="13" width="9.296875" style="47" hidden="1" customWidth="1"/>
    <col min="14" max="16384" width="0" style="54" hidden="1"/>
  </cols>
  <sheetData>
    <row r="1" spans="1:13" s="11" customFormat="1" ht="15" customHeight="1">
      <c r="A1" s="445" t="s">
        <v>135</v>
      </c>
      <c r="B1" s="445"/>
      <c r="C1" s="445"/>
      <c r="D1" s="445"/>
      <c r="E1" s="445"/>
      <c r="F1" s="445"/>
      <c r="G1" s="446"/>
      <c r="H1" s="445"/>
      <c r="I1" s="445"/>
      <c r="J1" s="445"/>
      <c r="K1" s="19"/>
    </row>
    <row r="2" spans="1:13" s="11" customFormat="1" ht="6" customHeight="1">
      <c r="A2" s="18"/>
      <c r="B2" s="18"/>
      <c r="C2" s="18"/>
      <c r="D2" s="18"/>
      <c r="E2" s="18"/>
      <c r="F2" s="18"/>
      <c r="G2" s="36"/>
      <c r="H2" s="18"/>
      <c r="I2" s="18"/>
    </row>
    <row r="3" spans="1:13" s="11" customFormat="1" ht="14">
      <c r="A3" s="16" t="s">
        <v>89</v>
      </c>
      <c r="C3" s="443" t="str">
        <f>'Sec. A-C DSH Year Data ADJ'!C9:G9</f>
        <v>AU Medical Center</v>
      </c>
      <c r="D3" s="443"/>
      <c r="E3" s="444"/>
      <c r="F3" s="444"/>
      <c r="G3" s="444"/>
      <c r="H3" s="444"/>
      <c r="I3" s="53" t="s">
        <v>92</v>
      </c>
      <c r="J3" s="17" t="str">
        <f>McaidNum_ADJ</f>
        <v>000000723A</v>
      </c>
      <c r="K3" s="17"/>
    </row>
    <row r="4" spans="1:13" s="11" customFormat="1" ht="16.149999999999999" customHeight="1">
      <c r="A4" s="16" t="s">
        <v>88</v>
      </c>
      <c r="C4" s="15">
        <f>DSH_Year_Begin</f>
        <v>44378</v>
      </c>
      <c r="D4" s="15"/>
      <c r="E4" s="16" t="s">
        <v>87</v>
      </c>
      <c r="F4" s="15">
        <f>DSH_Year_End</f>
        <v>44742</v>
      </c>
      <c r="G4" s="37"/>
      <c r="I4" s="20" t="s">
        <v>93</v>
      </c>
      <c r="J4" s="17">
        <f>McareNum_ADJ</f>
        <v>110034</v>
      </c>
      <c r="K4" s="17"/>
    </row>
    <row r="5" spans="1:13" s="11" customFormat="1" ht="7.9" customHeight="1">
      <c r="A5" s="16"/>
      <c r="B5" s="15"/>
      <c r="C5" s="14"/>
      <c r="D5" s="14"/>
      <c r="E5" s="14"/>
      <c r="F5" s="14"/>
      <c r="G5" s="38"/>
      <c r="H5" s="13"/>
      <c r="I5" s="13"/>
      <c r="J5" s="12"/>
      <c r="K5" s="12"/>
    </row>
    <row r="6" spans="1:13" ht="14">
      <c r="A6" s="447" t="s">
        <v>136</v>
      </c>
      <c r="B6" s="448"/>
      <c r="C6" s="448"/>
      <c r="D6" s="448"/>
      <c r="E6" s="448"/>
      <c r="F6" s="448"/>
      <c r="G6" s="449"/>
      <c r="H6" s="448"/>
      <c r="I6" s="448"/>
      <c r="J6" s="448"/>
      <c r="K6" s="450"/>
      <c r="M6" s="54"/>
    </row>
    <row r="7" spans="1:13" ht="12" customHeight="1">
      <c r="A7" s="440"/>
      <c r="B7" s="441"/>
      <c r="C7" s="441"/>
      <c r="D7" s="441"/>
      <c r="E7" s="441"/>
      <c r="F7" s="441"/>
      <c r="G7" s="442"/>
      <c r="H7" s="441"/>
      <c r="I7" s="441"/>
      <c r="J7" s="441"/>
      <c r="K7" s="55"/>
      <c r="M7" s="54"/>
    </row>
    <row r="8" spans="1:13" ht="16.899999999999999" customHeight="1" thickBot="1">
      <c r="A8" s="29" t="s">
        <v>86</v>
      </c>
      <c r="B8" s="29" t="s">
        <v>85</v>
      </c>
      <c r="C8" s="29" t="s">
        <v>25</v>
      </c>
      <c r="D8" s="29" t="s">
        <v>99</v>
      </c>
      <c r="E8" s="29" t="s">
        <v>84</v>
      </c>
      <c r="F8" s="29" t="s">
        <v>100</v>
      </c>
      <c r="G8" s="39" t="s">
        <v>95</v>
      </c>
      <c r="H8" s="29" t="s">
        <v>83</v>
      </c>
      <c r="I8" s="24" t="s">
        <v>90</v>
      </c>
      <c r="J8" s="24" t="s">
        <v>96</v>
      </c>
      <c r="K8" s="24" t="s">
        <v>91</v>
      </c>
      <c r="M8" s="54"/>
    </row>
    <row r="9" spans="1:13" ht="14" hidden="1">
      <c r="A9" s="56"/>
      <c r="B9" s="31" t="s">
        <v>101</v>
      </c>
      <c r="C9" s="57">
        <v>1</v>
      </c>
      <c r="D9" s="34" t="s">
        <v>102</v>
      </c>
      <c r="E9" s="32" t="s">
        <v>94</v>
      </c>
      <c r="F9" s="58" t="s">
        <v>107</v>
      </c>
      <c r="G9" s="59">
        <f t="shared" ref="G9:G14" si="0">DSH_Year_End</f>
        <v>44742</v>
      </c>
      <c r="H9" s="28" t="s">
        <v>155</v>
      </c>
      <c r="I9" s="31" t="str">
        <f>RetainDSHYes</f>
        <v>Yes</v>
      </c>
      <c r="J9" s="60">
        <f t="shared" ref="J9:J29" si="1">IF(K9&lt;&gt;I9,K9,0)</f>
        <v>0</v>
      </c>
      <c r="K9" s="31" t="str">
        <f>RetainDSHYes_ADJ</f>
        <v>Yes</v>
      </c>
      <c r="M9" s="54"/>
    </row>
    <row r="10" spans="1:13" ht="14" hidden="1">
      <c r="A10" s="61"/>
      <c r="B10" s="30" t="s">
        <v>1315</v>
      </c>
      <c r="C10" s="62">
        <v>1</v>
      </c>
      <c r="D10" s="35" t="s">
        <v>103</v>
      </c>
      <c r="E10" s="33" t="s">
        <v>94</v>
      </c>
      <c r="F10" s="63" t="s">
        <v>107</v>
      </c>
      <c r="G10" s="64">
        <f t="shared" si="0"/>
        <v>44742</v>
      </c>
      <c r="H10" s="28" t="s">
        <v>155</v>
      </c>
      <c r="I10" s="30" t="str">
        <f>OBYes</f>
        <v>Yes</v>
      </c>
      <c r="J10" s="65">
        <f t="shared" si="1"/>
        <v>0</v>
      </c>
      <c r="K10" s="30" t="str">
        <f>OBYes_ADJ</f>
        <v>Yes</v>
      </c>
      <c r="M10" s="54"/>
    </row>
    <row r="11" spans="1:13" ht="14" hidden="1">
      <c r="A11" s="61"/>
      <c r="B11" s="30" t="s">
        <v>1315</v>
      </c>
      <c r="C11" s="62">
        <v>2</v>
      </c>
      <c r="D11" s="35" t="s">
        <v>104</v>
      </c>
      <c r="E11" s="33" t="s">
        <v>94</v>
      </c>
      <c r="F11" s="63" t="s">
        <v>107</v>
      </c>
      <c r="G11" s="64">
        <f t="shared" si="0"/>
        <v>44742</v>
      </c>
      <c r="H11" s="28" t="s">
        <v>155</v>
      </c>
      <c r="I11" s="30" t="str">
        <f>OBExempt1Yes</f>
        <v>No</v>
      </c>
      <c r="J11" s="65">
        <f t="shared" si="1"/>
        <v>0</v>
      </c>
      <c r="K11" s="30" t="str">
        <f>OBExempt1Yes_ADJ</f>
        <v>No</v>
      </c>
      <c r="M11" s="54"/>
    </row>
    <row r="12" spans="1:13" ht="14" hidden="1">
      <c r="A12" s="61"/>
      <c r="B12" s="30" t="s">
        <v>1315</v>
      </c>
      <c r="C12" s="62">
        <v>3</v>
      </c>
      <c r="D12" s="35" t="s">
        <v>105</v>
      </c>
      <c r="E12" s="33" t="s">
        <v>94</v>
      </c>
      <c r="F12" s="63" t="s">
        <v>107</v>
      </c>
      <c r="G12" s="64">
        <f t="shared" si="0"/>
        <v>44742</v>
      </c>
      <c r="H12" s="28" t="s">
        <v>155</v>
      </c>
      <c r="I12" s="30" t="str">
        <f>OBExempt2Yes</f>
        <v>No</v>
      </c>
      <c r="J12" s="65">
        <f t="shared" si="1"/>
        <v>0</v>
      </c>
      <c r="K12" s="30" t="str">
        <f>OBExempt2Yes_ADJ</f>
        <v>No</v>
      </c>
      <c r="M12" s="54"/>
    </row>
    <row r="13" spans="1:13" ht="14" hidden="1">
      <c r="A13" s="61"/>
      <c r="B13" s="30" t="s">
        <v>1315</v>
      </c>
      <c r="C13" s="62" t="s">
        <v>196</v>
      </c>
      <c r="D13" s="35" t="s">
        <v>199</v>
      </c>
      <c r="E13" s="33" t="s">
        <v>94</v>
      </c>
      <c r="F13" s="63" t="s">
        <v>107</v>
      </c>
      <c r="G13" s="64">
        <f t="shared" si="0"/>
        <v>44742</v>
      </c>
      <c r="H13" s="28" t="s">
        <v>174</v>
      </c>
      <c r="I13" s="30" t="str">
        <f>OpenAsOf_Exam</f>
        <v>Yes</v>
      </c>
      <c r="J13" s="65">
        <f>IF(K13&lt;&gt;I13,K13,0)</f>
        <v>0</v>
      </c>
      <c r="K13" s="30" t="str">
        <f>OpenAsOf_Exam_ADJ</f>
        <v>Yes</v>
      </c>
      <c r="M13" s="54"/>
    </row>
    <row r="14" spans="1:13" ht="14" hidden="1">
      <c r="A14" s="61"/>
      <c r="B14" s="30" t="s">
        <v>1315</v>
      </c>
      <c r="C14" s="62" t="s">
        <v>198</v>
      </c>
      <c r="D14" s="35" t="s">
        <v>189</v>
      </c>
      <c r="E14" s="33" t="s">
        <v>94</v>
      </c>
      <c r="F14" s="63" t="s">
        <v>107</v>
      </c>
      <c r="G14" s="64">
        <f t="shared" si="0"/>
        <v>44742</v>
      </c>
      <c r="H14" s="28" t="s">
        <v>174</v>
      </c>
      <c r="I14" s="162">
        <f>IF(OR(OpenDate_Exam="",OpenDate_Exam=0),"",OpenDate_Exam)</f>
        <v>24272</v>
      </c>
      <c r="J14" s="161">
        <f>IF(K14&lt;&gt;I14,K14,0)</f>
        <v>0</v>
      </c>
      <c r="K14" s="162">
        <f>IF(OpenDate_Exam_ADJ="","",OpenDate_Exam_ADJ)</f>
        <v>24272</v>
      </c>
      <c r="M14" s="54"/>
    </row>
    <row r="15" spans="1:13" ht="14" hidden="1">
      <c r="A15" s="61"/>
      <c r="B15" s="30" t="s">
        <v>1315</v>
      </c>
      <c r="C15" s="62">
        <v>4</v>
      </c>
      <c r="D15" s="35" t="s">
        <v>103</v>
      </c>
      <c r="E15" s="33" t="s">
        <v>94</v>
      </c>
      <c r="F15" s="63" t="s">
        <v>107</v>
      </c>
      <c r="G15" s="64">
        <f>DSH_Payment_Year_End</f>
        <v>44377</v>
      </c>
      <c r="H15" s="28" t="s">
        <v>174</v>
      </c>
      <c r="I15" s="30">
        <f>OBYes_Payment</f>
        <v>0</v>
      </c>
      <c r="J15" s="65">
        <f t="shared" si="1"/>
        <v>0</v>
      </c>
      <c r="K15" s="30">
        <f>OBYes_Payment_ADJ</f>
        <v>0</v>
      </c>
      <c r="M15" s="54"/>
    </row>
    <row r="16" spans="1:13" ht="14" hidden="1">
      <c r="A16" s="61"/>
      <c r="B16" s="30" t="s">
        <v>1315</v>
      </c>
      <c r="C16" s="62">
        <v>5</v>
      </c>
      <c r="D16" s="35" t="s">
        <v>104</v>
      </c>
      <c r="E16" s="33" t="s">
        <v>94</v>
      </c>
      <c r="F16" s="63" t="s">
        <v>107</v>
      </c>
      <c r="G16" s="64">
        <f>DSH_Payment_Year_End</f>
        <v>44377</v>
      </c>
      <c r="H16" s="28" t="s">
        <v>174</v>
      </c>
      <c r="I16" s="30">
        <f>OBExempt1Yes_Payment</f>
        <v>0</v>
      </c>
      <c r="J16" s="65">
        <f t="shared" si="1"/>
        <v>0</v>
      </c>
      <c r="K16" s="30">
        <f>OBExempt1Yes_Payment_ADJ</f>
        <v>0</v>
      </c>
      <c r="M16" s="54"/>
    </row>
    <row r="17" spans="1:13" ht="14" hidden="1">
      <c r="A17" s="61"/>
      <c r="B17" s="30" t="s">
        <v>1315</v>
      </c>
      <c r="C17" s="141">
        <v>6</v>
      </c>
      <c r="D17" s="35" t="s">
        <v>105</v>
      </c>
      <c r="E17" s="33" t="s">
        <v>94</v>
      </c>
      <c r="F17" s="63" t="s">
        <v>107</v>
      </c>
      <c r="G17" s="64">
        <f>DSH_Payment_Year_End</f>
        <v>44377</v>
      </c>
      <c r="H17" s="28" t="s">
        <v>174</v>
      </c>
      <c r="I17" s="30">
        <f>OBExempt2Yes_Payment</f>
        <v>0</v>
      </c>
      <c r="J17" s="65">
        <f t="shared" si="1"/>
        <v>0</v>
      </c>
      <c r="K17" s="30">
        <f>OBExempt2Yes_Payment_ADJ</f>
        <v>0</v>
      </c>
      <c r="M17" s="54"/>
    </row>
    <row r="18" spans="1:13" ht="25.5" hidden="1">
      <c r="A18" s="61"/>
      <c r="B18" s="30" t="s">
        <v>133</v>
      </c>
      <c r="C18" s="62">
        <f>'Sec. A-C DSH Year Data'!A77</f>
        <v>1</v>
      </c>
      <c r="D18" s="328" t="str">
        <f>'Sec. A-C DSH Year Data'!B77</f>
        <v>Medicaid Supplemental Payments for Hospital Services DSH Year 07/01/2021 - 06/30/2022</v>
      </c>
      <c r="E18" s="33" t="s">
        <v>94</v>
      </c>
      <c r="F18" s="66" t="s">
        <v>1209</v>
      </c>
      <c r="G18" s="64">
        <f t="shared" ref="G18:G29" si="2">DSH_Year_End</f>
        <v>44742</v>
      </c>
      <c r="H18" s="28" t="s">
        <v>106</v>
      </c>
      <c r="I18" s="67">
        <f>Mcaid_Lump_Sum_Payments</f>
        <v>20436343</v>
      </c>
      <c r="J18" s="67">
        <f>K18-I18</f>
        <v>0</v>
      </c>
      <c r="K18" s="67">
        <f>Mcaid_Lump_Sum_Payments_ADJ</f>
        <v>20436343</v>
      </c>
      <c r="M18" s="54"/>
    </row>
    <row r="19" spans="1:13" ht="25.5" hidden="1">
      <c r="A19" s="61"/>
      <c r="B19" s="30" t="s">
        <v>133</v>
      </c>
      <c r="C19" s="62">
        <f>'Sec. A-C DSH Year Data'!A80</f>
        <v>2</v>
      </c>
      <c r="D19" s="328" t="str">
        <f>'Sec. A-C DSH Year Data'!B80</f>
        <v>Medicaid Managed Care Supplemental Payments for hospital services for DSH Year 07/01/2021 - 06/30/2022</v>
      </c>
      <c r="E19" s="33" t="s">
        <v>94</v>
      </c>
      <c r="F19" s="66" t="s">
        <v>1209</v>
      </c>
      <c r="G19" s="64">
        <f t="shared" si="2"/>
        <v>44742</v>
      </c>
      <c r="H19" s="28" t="s">
        <v>106</v>
      </c>
      <c r="I19" s="67">
        <f>MCO_Lump_Sum_Payments</f>
        <v>0</v>
      </c>
      <c r="J19" s="67">
        <f t="shared" ref="J19:J20" si="3">K19-I19</f>
        <v>0</v>
      </c>
      <c r="K19" s="67">
        <f>MCO_Lump_Sum_Payments_ADJ</f>
        <v>0</v>
      </c>
      <c r="M19" s="54"/>
    </row>
    <row r="20" spans="1:13" ht="25.5" hidden="1">
      <c r="A20" s="61"/>
      <c r="B20" s="30" t="s">
        <v>133</v>
      </c>
      <c r="C20" s="62">
        <f>'Sec. A-C DSH Year Data'!A84</f>
        <v>3</v>
      </c>
      <c r="D20" s="328" t="str">
        <f>'Sec. A-C DSH Year Data'!B84</f>
        <v>Total Medicaid and Medicaid Managed Care Non-Claims Payments for Hospital Services07/01/2021 - 06/30/2022</v>
      </c>
      <c r="E20" s="33" t="s">
        <v>94</v>
      </c>
      <c r="F20" s="66" t="s">
        <v>1209</v>
      </c>
      <c r="G20" s="64">
        <f t="shared" si="2"/>
        <v>44742</v>
      </c>
      <c r="H20" s="28" t="s">
        <v>106</v>
      </c>
      <c r="I20" s="67">
        <f>UPL_Payments</f>
        <v>20436343</v>
      </c>
      <c r="J20" s="67">
        <f t="shared" si="3"/>
        <v>0</v>
      </c>
      <c r="K20" s="67">
        <f>UPL_Payments_ADJ</f>
        <v>20436343</v>
      </c>
      <c r="M20" s="54"/>
    </row>
    <row r="21" spans="1:13" ht="14" hidden="1">
      <c r="A21" s="61"/>
      <c r="B21" s="30" t="s">
        <v>335</v>
      </c>
      <c r="C21" s="62">
        <v>10</v>
      </c>
      <c r="D21" s="35" t="s">
        <v>234</v>
      </c>
      <c r="E21" s="33" t="s">
        <v>94</v>
      </c>
      <c r="F21" s="66" t="s">
        <v>107</v>
      </c>
      <c r="G21" s="64">
        <f t="shared" si="2"/>
        <v>44742</v>
      </c>
      <c r="H21" s="28" t="s">
        <v>174</v>
      </c>
      <c r="I21" s="67">
        <f>OwnerType</f>
        <v>0</v>
      </c>
      <c r="J21" s="65">
        <f t="shared" si="1"/>
        <v>0</v>
      </c>
      <c r="K21" s="67">
        <f>OwnerType_ADJ</f>
        <v>0</v>
      </c>
      <c r="M21" s="54"/>
    </row>
    <row r="22" spans="1:13" ht="14" hidden="1">
      <c r="A22" s="61"/>
      <c r="B22" s="30" t="s">
        <v>335</v>
      </c>
      <c r="C22" s="62">
        <v>11</v>
      </c>
      <c r="D22" s="35" t="s">
        <v>336</v>
      </c>
      <c r="E22" s="33" t="s">
        <v>94</v>
      </c>
      <c r="F22" s="66" t="s">
        <v>107</v>
      </c>
      <c r="G22" s="64">
        <f t="shared" si="2"/>
        <v>44742</v>
      </c>
      <c r="H22" s="28" t="s">
        <v>174</v>
      </c>
      <c r="I22" s="67">
        <f>DSHPool</f>
        <v>0</v>
      </c>
      <c r="J22" s="65">
        <f t="shared" si="1"/>
        <v>0</v>
      </c>
      <c r="K22" s="67">
        <f>DSHPool_ADJ</f>
        <v>0</v>
      </c>
      <c r="M22" s="54"/>
    </row>
    <row r="23" spans="1:13" ht="14" hidden="1">
      <c r="A23" s="61"/>
      <c r="B23" s="30" t="s">
        <v>1315</v>
      </c>
      <c r="C23" s="62">
        <v>4</v>
      </c>
      <c r="D23" s="35" t="s">
        <v>337</v>
      </c>
      <c r="E23" s="33" t="s">
        <v>94</v>
      </c>
      <c r="F23" s="66" t="s">
        <v>107</v>
      </c>
      <c r="G23" s="64">
        <f t="shared" si="2"/>
        <v>44742</v>
      </c>
      <c r="H23" s="28" t="s">
        <v>174</v>
      </c>
      <c r="I23" s="65">
        <f>LA_OBName1</f>
        <v>0</v>
      </c>
      <c r="J23" s="65">
        <f t="shared" si="1"/>
        <v>0</v>
      </c>
      <c r="K23" s="65">
        <f>LA_OBName1_ADJ</f>
        <v>0</v>
      </c>
      <c r="M23" s="54"/>
    </row>
    <row r="24" spans="1:13" ht="14" hidden="1">
      <c r="A24" s="61"/>
      <c r="B24" s="30" t="s">
        <v>1315</v>
      </c>
      <c r="C24" s="62">
        <v>4</v>
      </c>
      <c r="D24" s="35" t="s">
        <v>338</v>
      </c>
      <c r="E24" s="33" t="s">
        <v>94</v>
      </c>
      <c r="F24" s="66" t="s">
        <v>107</v>
      </c>
      <c r="G24" s="64">
        <f t="shared" si="2"/>
        <v>44742</v>
      </c>
      <c r="H24" s="28" t="s">
        <v>174</v>
      </c>
      <c r="I24" s="65">
        <f>LA_OBName2</f>
        <v>0</v>
      </c>
      <c r="J24" s="65">
        <f t="shared" si="1"/>
        <v>0</v>
      </c>
      <c r="K24" s="65">
        <f>LA_OBName2_ADJ</f>
        <v>0</v>
      </c>
      <c r="M24" s="54"/>
    </row>
    <row r="25" spans="1:13" ht="14" hidden="1">
      <c r="A25" s="61"/>
      <c r="B25" s="30" t="s">
        <v>1315</v>
      </c>
      <c r="C25" s="62">
        <v>4</v>
      </c>
      <c r="D25" s="35" t="s">
        <v>351</v>
      </c>
      <c r="E25" s="33" t="s">
        <v>94</v>
      </c>
      <c r="F25" s="66" t="s">
        <v>107</v>
      </c>
      <c r="G25" s="64">
        <f t="shared" si="2"/>
        <v>44742</v>
      </c>
      <c r="H25" s="28" t="s">
        <v>174</v>
      </c>
      <c r="I25" s="65">
        <f>OBLicense_1</f>
        <v>0</v>
      </c>
      <c r="J25" s="65">
        <f t="shared" si="1"/>
        <v>0</v>
      </c>
      <c r="K25" s="65">
        <f>OBLicense_1_ADJ</f>
        <v>0</v>
      </c>
      <c r="M25" s="54"/>
    </row>
    <row r="26" spans="1:13" ht="14" hidden="1">
      <c r="A26" s="61"/>
      <c r="B26" s="30" t="s">
        <v>1315</v>
      </c>
      <c r="C26" s="62">
        <v>4</v>
      </c>
      <c r="D26" s="35" t="s">
        <v>352</v>
      </c>
      <c r="E26" s="33" t="s">
        <v>94</v>
      </c>
      <c r="F26" s="66" t="s">
        <v>107</v>
      </c>
      <c r="G26" s="64">
        <f t="shared" si="2"/>
        <v>44742</v>
      </c>
      <c r="H26" s="28" t="s">
        <v>174</v>
      </c>
      <c r="I26" s="65">
        <f>OBLicense_2</f>
        <v>0</v>
      </c>
      <c r="J26" s="65">
        <f t="shared" si="1"/>
        <v>0</v>
      </c>
      <c r="K26" s="65">
        <f>OBLicense_2_ADJ</f>
        <v>0</v>
      </c>
      <c r="M26" s="54"/>
    </row>
    <row r="27" spans="1:13" ht="14" hidden="1">
      <c r="A27" s="61"/>
      <c r="B27" s="30" t="s">
        <v>1315</v>
      </c>
      <c r="C27" s="62">
        <v>4</v>
      </c>
      <c r="D27" s="35" t="s">
        <v>353</v>
      </c>
      <c r="E27" s="33" t="s">
        <v>94</v>
      </c>
      <c r="F27" s="66" t="s">
        <v>107</v>
      </c>
      <c r="G27" s="64">
        <f t="shared" si="2"/>
        <v>44742</v>
      </c>
      <c r="H27" s="28" t="s">
        <v>174</v>
      </c>
      <c r="I27" s="65">
        <f>OBMedicaid_1</f>
        <v>0</v>
      </c>
      <c r="J27" s="65">
        <f t="shared" si="1"/>
        <v>0</v>
      </c>
      <c r="K27" s="65">
        <f>OBMedicaid_1_ADJ</f>
        <v>0</v>
      </c>
      <c r="M27" s="54"/>
    </row>
    <row r="28" spans="1:13" ht="14" hidden="1">
      <c r="A28" s="61"/>
      <c r="B28" s="30" t="s">
        <v>1315</v>
      </c>
      <c r="C28" s="62">
        <v>4</v>
      </c>
      <c r="D28" s="35" t="s">
        <v>354</v>
      </c>
      <c r="E28" s="33" t="s">
        <v>94</v>
      </c>
      <c r="F28" s="66" t="s">
        <v>107</v>
      </c>
      <c r="G28" s="64">
        <f t="shared" si="2"/>
        <v>44742</v>
      </c>
      <c r="H28" s="28" t="s">
        <v>174</v>
      </c>
      <c r="I28" s="65">
        <f>OBMedicaid_2</f>
        <v>0</v>
      </c>
      <c r="J28" s="65">
        <f t="shared" si="1"/>
        <v>0</v>
      </c>
      <c r="K28" s="65">
        <f>OBMedicaid_2_ADJ</f>
        <v>0</v>
      </c>
      <c r="M28" s="54"/>
    </row>
    <row r="29" spans="1:13" ht="14" hidden="1">
      <c r="A29" s="61"/>
      <c r="B29" s="30" t="s">
        <v>1315</v>
      </c>
      <c r="C29" s="62">
        <v>7</v>
      </c>
      <c r="D29" s="35" t="s">
        <v>1316</v>
      </c>
      <c r="E29" s="33" t="s">
        <v>94</v>
      </c>
      <c r="F29" s="66" t="s">
        <v>107</v>
      </c>
      <c r="G29" s="64">
        <f t="shared" si="2"/>
        <v>44742</v>
      </c>
      <c r="H29" s="28" t="s">
        <v>174</v>
      </c>
      <c r="I29" s="65">
        <f>WI_ED_Qualification</f>
        <v>0</v>
      </c>
      <c r="J29" s="65">
        <f t="shared" si="1"/>
        <v>0</v>
      </c>
      <c r="K29" s="65">
        <f>WI_ED_Qualification_ADJ</f>
        <v>0</v>
      </c>
      <c r="M29" s="54"/>
    </row>
    <row r="30" spans="1:13" ht="16.899999999999999" customHeight="1">
      <c r="A30" s="61"/>
      <c r="B30" s="30"/>
      <c r="C30" s="62"/>
      <c r="D30" s="35"/>
      <c r="E30" s="33"/>
      <c r="F30" s="66"/>
      <c r="G30" s="64"/>
      <c r="H30" s="28"/>
      <c r="I30" s="67"/>
      <c r="J30" s="67"/>
      <c r="K30" s="67"/>
      <c r="M30" s="54"/>
    </row>
    <row r="31" spans="1:13"/>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sheetData>
  <sheetProtection algorithmName="SHA-512" hashValue="A6LPgvqo6RWT5/JOknFgWEd4wGJNnjmuc/SM1wGBekAHk132Ug3E6fd2Qd12TfJBrAybZJXtrQTMKASgdpkRlQ==" saltValue="yiaq8ma3xj81t034v+EAOA==" spinCount="100000" sheet="1" objects="1" scenarios="1" selectLockedCells="1"/>
  <autoFilter ref="A8:K29" xr:uid="{00000000-0009-0000-0000-00000D000000}">
    <filterColumn colId="9">
      <customFilters and="1">
        <customFilter operator="notEqual" val="0"/>
        <customFilter operator="notEqual" val="&quot;"/>
      </customFilters>
    </filterColumn>
  </autoFilter>
  <mergeCells count="4">
    <mergeCell ref="A7:J7"/>
    <mergeCell ref="C3:H3"/>
    <mergeCell ref="A1:J1"/>
    <mergeCell ref="A6:K6"/>
  </mergeCells>
  <pageMargins left="0.56000000000000005" right="0.46" top="1.01" bottom="1" header="0.41" footer="0.5"/>
  <pageSetup scale="50" fitToHeight="1000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Config"/>
  <dimension ref="A1:CQ2"/>
  <sheetViews>
    <sheetView workbookViewId="0"/>
  </sheetViews>
  <sheetFormatPr defaultRowHeight="13"/>
  <sheetData>
    <row r="1" spans="1:95">
      <c r="A1" s="285" t="s">
        <v>1143</v>
      </c>
    </row>
    <row r="2" spans="1:95">
      <c r="CQ2" s="286" t="s">
        <v>1321</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B24"/>
  <sheetViews>
    <sheetView workbookViewId="0">
      <selection activeCell="D12" sqref="D12"/>
    </sheetView>
  </sheetViews>
  <sheetFormatPr defaultRowHeight="13"/>
  <sheetData>
    <row r="1" spans="1:2">
      <c r="A1" s="244" t="s">
        <v>620</v>
      </c>
      <c r="B1" s="244" t="s">
        <v>621</v>
      </c>
    </row>
    <row r="2" spans="1:2">
      <c r="A2" t="s">
        <v>574</v>
      </c>
      <c r="B2" t="s">
        <v>575</v>
      </c>
    </row>
    <row r="3" spans="1:2">
      <c r="A3" t="s">
        <v>576</v>
      </c>
      <c r="B3" t="s">
        <v>577</v>
      </c>
    </row>
    <row r="4" spans="1:2">
      <c r="A4" t="s">
        <v>578</v>
      </c>
      <c r="B4" t="s">
        <v>579</v>
      </c>
    </row>
    <row r="5" spans="1:2">
      <c r="A5" t="s">
        <v>580</v>
      </c>
      <c r="B5" t="s">
        <v>581</v>
      </c>
    </row>
    <row r="6" spans="1:2">
      <c r="A6" t="s">
        <v>582</v>
      </c>
      <c r="B6" t="s">
        <v>583</v>
      </c>
    </row>
    <row r="7" spans="1:2">
      <c r="A7" t="s">
        <v>584</v>
      </c>
      <c r="B7" t="s">
        <v>585</v>
      </c>
    </row>
    <row r="8" spans="1:2">
      <c r="A8" t="s">
        <v>586</v>
      </c>
      <c r="B8" t="s">
        <v>587</v>
      </c>
    </row>
    <row r="9" spans="1:2">
      <c r="A9" t="s">
        <v>588</v>
      </c>
      <c r="B9" t="s">
        <v>589</v>
      </c>
    </row>
    <row r="10" spans="1:2">
      <c r="A10" t="s">
        <v>590</v>
      </c>
      <c r="B10" t="s">
        <v>591</v>
      </c>
    </row>
    <row r="11" spans="1:2">
      <c r="A11" t="s">
        <v>592</v>
      </c>
      <c r="B11" t="s">
        <v>593</v>
      </c>
    </row>
    <row r="12" spans="1:2">
      <c r="A12" t="s">
        <v>594</v>
      </c>
      <c r="B12" t="s">
        <v>595</v>
      </c>
    </row>
    <row r="13" spans="1:2">
      <c r="A13" t="s">
        <v>596</v>
      </c>
      <c r="B13" t="s">
        <v>597</v>
      </c>
    </row>
    <row r="14" spans="1:2">
      <c r="A14" t="s">
        <v>598</v>
      </c>
      <c r="B14" t="s">
        <v>599</v>
      </c>
    </row>
    <row r="15" spans="1:2">
      <c r="A15" t="s">
        <v>600</v>
      </c>
      <c r="B15" t="s">
        <v>601</v>
      </c>
    </row>
    <row r="16" spans="1:2">
      <c r="A16" t="s">
        <v>602</v>
      </c>
      <c r="B16" t="s">
        <v>603</v>
      </c>
    </row>
    <row r="17" spans="1:2">
      <c r="A17" t="s">
        <v>604</v>
      </c>
      <c r="B17" t="s">
        <v>605</v>
      </c>
    </row>
    <row r="18" spans="1:2">
      <c r="A18" t="s">
        <v>606</v>
      </c>
      <c r="B18" t="s">
        <v>607</v>
      </c>
    </row>
    <row r="19" spans="1:2">
      <c r="A19" t="s">
        <v>608</v>
      </c>
      <c r="B19" t="s">
        <v>609</v>
      </c>
    </row>
    <row r="20" spans="1:2">
      <c r="A20" t="s">
        <v>610</v>
      </c>
      <c r="B20" t="s">
        <v>611</v>
      </c>
    </row>
    <row r="21" spans="1:2">
      <c r="A21" t="s">
        <v>612</v>
      </c>
      <c r="B21" t="s">
        <v>613</v>
      </c>
    </row>
    <row r="22" spans="1:2">
      <c r="A22" t="s">
        <v>614</v>
      </c>
      <c r="B22" t="s">
        <v>615</v>
      </c>
    </row>
    <row r="23" spans="1:2">
      <c r="A23" t="s">
        <v>616</v>
      </c>
      <c r="B23" t="s">
        <v>617</v>
      </c>
    </row>
    <row r="24" spans="1:2">
      <c r="A24" t="s">
        <v>618</v>
      </c>
      <c r="B24" t="s">
        <v>619</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5"/>
  <sheetViews>
    <sheetView workbookViewId="0">
      <selection activeCell="B5" sqref="B5"/>
    </sheetView>
  </sheetViews>
  <sheetFormatPr defaultRowHeight="13"/>
  <cols>
    <col min="1" max="1" width="14" customWidth="1"/>
    <col min="2" max="2" width="10.5" bestFit="1" customWidth="1"/>
  </cols>
  <sheetData>
    <row r="1" spans="1:2">
      <c r="A1" s="244" t="s">
        <v>622</v>
      </c>
      <c r="B1" s="244" t="s">
        <v>623</v>
      </c>
    </row>
    <row r="2" spans="1:2">
      <c r="A2" t="s">
        <v>624</v>
      </c>
      <c r="B2" t="s">
        <v>1232</v>
      </c>
    </row>
    <row r="3" spans="1:2">
      <c r="A3" t="s">
        <v>625</v>
      </c>
      <c r="B3">
        <v>1.02</v>
      </c>
    </row>
    <row r="4" spans="1:2">
      <c r="A4" t="s">
        <v>626</v>
      </c>
      <c r="B4" s="245">
        <v>44601</v>
      </c>
    </row>
    <row r="5" spans="1:2">
      <c r="A5" t="s">
        <v>627</v>
      </c>
      <c r="B5">
        <v>263</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pageSetUpPr fitToPage="1"/>
  </sheetPr>
  <dimension ref="A1:ED230"/>
  <sheetViews>
    <sheetView showGridLines="0" zoomScale="85" zoomScaleNormal="85" workbookViewId="0">
      <pane xSplit="1" ySplit="17" topLeftCell="B156" activePane="bottomRight" state="frozen"/>
      <selection activeCell="C16" sqref="B15:G16"/>
      <selection pane="topRight" activeCell="C16" sqref="B15:G16"/>
      <selection pane="bottomLeft" activeCell="C16" sqref="B15:G16"/>
      <selection pane="bottomRight" activeCell="B17" sqref="B17"/>
    </sheetView>
  </sheetViews>
  <sheetFormatPr defaultColWidth="10.69921875" defaultRowHeight="12.5"/>
  <cols>
    <col min="1" max="1" width="8.296875" style="142" customWidth="1"/>
    <col min="2" max="2" width="54.5" style="142" customWidth="1"/>
    <col min="3" max="3" width="12" style="142" bestFit="1" customWidth="1"/>
    <col min="4" max="6" width="14.19921875" style="142" customWidth="1"/>
    <col min="7" max="12" width="14.19921875" style="143" customWidth="1"/>
    <col min="13" max="14" width="14.19921875" style="142" customWidth="1"/>
    <col min="15" max="15" width="17.796875" style="142" customWidth="1"/>
    <col min="16" max="17" width="14.19921875" style="142" customWidth="1"/>
    <col min="18" max="16384" width="10.69921875" style="142"/>
  </cols>
  <sheetData>
    <row r="1" spans="1:134" ht="13">
      <c r="A1" s="4" t="s">
        <v>97</v>
      </c>
      <c r="B1" s="21" t="s">
        <v>1266</v>
      </c>
      <c r="D1" s="357" t="s">
        <v>1322</v>
      </c>
      <c r="E1" s="358">
        <v>44378</v>
      </c>
    </row>
    <row r="2" spans="1:134" ht="13">
      <c r="D2" s="357" t="s">
        <v>1323</v>
      </c>
      <c r="E2" s="358">
        <v>44742</v>
      </c>
    </row>
    <row r="4" spans="1:134" ht="21.75" customHeight="1">
      <c r="D4" s="22" t="s">
        <v>98</v>
      </c>
      <c r="E4" s="42">
        <f>YEAR(DSH_Year_End)</f>
        <v>2022</v>
      </c>
      <c r="F4" s="218">
        <f>Year-1</f>
        <v>2021</v>
      </c>
      <c r="G4" s="143" t="s">
        <v>151</v>
      </c>
      <c r="K4" s="21" t="s">
        <v>215</v>
      </c>
      <c r="M4" s="142" t="s">
        <v>368</v>
      </c>
      <c r="N4" s="216"/>
      <c r="O4" s="142" t="s">
        <v>1251</v>
      </c>
      <c r="P4" s="346"/>
      <c r="U4" s="142" t="s">
        <v>242</v>
      </c>
      <c r="CF4" s="350" t="s">
        <v>1256</v>
      </c>
      <c r="CG4" s="350" t="s">
        <v>1257</v>
      </c>
      <c r="CH4" s="350" t="s">
        <v>1258</v>
      </c>
      <c r="CI4" s="350" t="s">
        <v>1259</v>
      </c>
      <c r="CJ4" s="350" t="s">
        <v>1260</v>
      </c>
      <c r="CK4" s="350" t="s">
        <v>1261</v>
      </c>
      <c r="CL4" s="350" t="s">
        <v>1262</v>
      </c>
      <c r="CM4" s="350" t="s">
        <v>1263</v>
      </c>
      <c r="CN4" s="350" t="s">
        <v>1264</v>
      </c>
      <c r="CO4" s="350" t="s">
        <v>1265</v>
      </c>
      <c r="CP4" s="350" t="s">
        <v>1266</v>
      </c>
      <c r="CQ4" s="350" t="s">
        <v>1267</v>
      </c>
      <c r="CR4" s="350" t="s">
        <v>1268</v>
      </c>
      <c r="CS4" s="350" t="s">
        <v>1269</v>
      </c>
      <c r="CT4" s="350" t="s">
        <v>1270</v>
      </c>
      <c r="CU4" s="350" t="s">
        <v>1271</v>
      </c>
      <c r="CV4" s="350" t="s">
        <v>1272</v>
      </c>
      <c r="CW4" s="350" t="s">
        <v>1273</v>
      </c>
      <c r="CX4" s="350" t="s">
        <v>1274</v>
      </c>
      <c r="CY4" s="350" t="s">
        <v>1275</v>
      </c>
      <c r="CZ4" s="350" t="s">
        <v>1276</v>
      </c>
      <c r="DA4" s="350" t="s">
        <v>1277</v>
      </c>
      <c r="DB4" s="350" t="s">
        <v>1278</v>
      </c>
      <c r="DC4" s="350" t="s">
        <v>1279</v>
      </c>
      <c r="DD4" s="350" t="s">
        <v>1280</v>
      </c>
      <c r="DE4" s="350" t="s">
        <v>1281</v>
      </c>
      <c r="DF4" s="350" t="s">
        <v>1282</v>
      </c>
      <c r="DG4" s="350" t="s">
        <v>1283</v>
      </c>
      <c r="DH4" s="350" t="s">
        <v>1284</v>
      </c>
      <c r="DI4" s="350" t="s">
        <v>1285</v>
      </c>
      <c r="DJ4" s="350" t="s">
        <v>1286</v>
      </c>
      <c r="DK4" s="350" t="s">
        <v>1287</v>
      </c>
      <c r="DL4" s="350" t="s">
        <v>1288</v>
      </c>
      <c r="DM4" s="350" t="s">
        <v>1289</v>
      </c>
      <c r="DN4" s="350" t="s">
        <v>1290</v>
      </c>
      <c r="DO4" s="350" t="s">
        <v>1291</v>
      </c>
      <c r="DP4" s="350" t="s">
        <v>1292</v>
      </c>
      <c r="DQ4" s="350" t="s">
        <v>1293</v>
      </c>
      <c r="DR4" s="350" t="s">
        <v>1294</v>
      </c>
      <c r="DS4" s="350" t="s">
        <v>1295</v>
      </c>
      <c r="DT4" s="350" t="s">
        <v>1296</v>
      </c>
      <c r="DU4" s="350" t="s">
        <v>1297</v>
      </c>
      <c r="DV4" s="350" t="s">
        <v>1298</v>
      </c>
      <c r="DW4" s="350" t="s">
        <v>1299</v>
      </c>
      <c r="DX4" s="350" t="s">
        <v>1300</v>
      </c>
      <c r="DY4" s="350" t="s">
        <v>1301</v>
      </c>
      <c r="DZ4" s="350" t="s">
        <v>1302</v>
      </c>
      <c r="EA4" s="350" t="s">
        <v>1303</v>
      </c>
      <c r="EB4" s="350" t="s">
        <v>1304</v>
      </c>
      <c r="EC4" s="350" t="s">
        <v>1254</v>
      </c>
      <c r="ED4" s="350" t="s">
        <v>1305</v>
      </c>
    </row>
    <row r="5" spans="1:134" ht="23.5" customHeight="1">
      <c r="A5" s="4"/>
      <c r="E5" s="349" t="s">
        <v>1324</v>
      </c>
      <c r="M5" s="188" t="s">
        <v>347</v>
      </c>
      <c r="N5" s="217"/>
      <c r="U5" s="142" t="s">
        <v>243</v>
      </c>
    </row>
    <row r="6" spans="1:134" ht="23.5" customHeight="1">
      <c r="B6" s="4" t="s">
        <v>109</v>
      </c>
      <c r="D6" s="159" t="s">
        <v>203</v>
      </c>
      <c r="F6" s="144"/>
      <c r="G6" s="144"/>
      <c r="H6" s="144"/>
      <c r="I6" s="21" t="s">
        <v>215</v>
      </c>
      <c r="J6" s="144"/>
      <c r="K6" s="144"/>
      <c r="U6" s="142" t="s">
        <v>366</v>
      </c>
    </row>
    <row r="7" spans="1:134" ht="23.5" customHeight="1">
      <c r="B7" s="40" t="s">
        <v>127</v>
      </c>
      <c r="F7" s="144"/>
      <c r="G7" s="144"/>
      <c r="H7" s="144"/>
      <c r="I7" s="144"/>
      <c r="J7" s="144"/>
      <c r="K7" s="144"/>
      <c r="M7" s="142" t="s">
        <v>1228</v>
      </c>
      <c r="N7" s="346"/>
      <c r="U7" s="142" t="s">
        <v>366</v>
      </c>
    </row>
    <row r="8" spans="1:134" ht="15.5">
      <c r="B8" s="40" t="s">
        <v>134</v>
      </c>
      <c r="F8" s="144"/>
      <c r="G8" s="144"/>
      <c r="H8" s="144"/>
      <c r="I8" s="144"/>
      <c r="J8" s="144"/>
      <c r="K8" s="144"/>
    </row>
    <row r="9" spans="1:134" ht="20.25" customHeight="1">
      <c r="B9" s="40" t="s">
        <v>1326</v>
      </c>
      <c r="D9" s="359" t="s">
        <v>126</v>
      </c>
      <c r="E9" s="359"/>
      <c r="F9" s="359"/>
      <c r="G9" s="359"/>
      <c r="H9" s="359"/>
      <c r="I9" s="359"/>
      <c r="J9" s="7"/>
      <c r="K9" s="7"/>
      <c r="U9" s="142" t="s">
        <v>182</v>
      </c>
    </row>
    <row r="10" spans="1:134" ht="21" customHeight="1">
      <c r="B10" s="40" t="s">
        <v>1325</v>
      </c>
      <c r="D10" s="359"/>
      <c r="E10" s="359"/>
      <c r="F10" s="359"/>
      <c r="G10" s="359"/>
      <c r="H10" s="359"/>
      <c r="I10" s="359"/>
      <c r="J10" s="7"/>
      <c r="K10" s="7"/>
      <c r="U10" s="142" t="s">
        <v>346</v>
      </c>
    </row>
    <row r="11" spans="1:134" ht="15.5">
      <c r="B11" s="40" t="s">
        <v>1327</v>
      </c>
      <c r="D11" s="7"/>
      <c r="E11" s="7"/>
      <c r="F11" s="7"/>
      <c r="G11" s="7"/>
      <c r="H11" s="7"/>
      <c r="I11" s="7"/>
      <c r="J11" s="7"/>
      <c r="K11" s="7"/>
    </row>
    <row r="12" spans="1:134" ht="16" thickBot="1">
      <c r="B12" s="40" t="s">
        <v>1328</v>
      </c>
      <c r="D12" s="7"/>
      <c r="E12" s="7"/>
      <c r="F12" s="7"/>
      <c r="G12" s="7"/>
      <c r="K12" s="7"/>
      <c r="U12" s="142" t="s">
        <v>183</v>
      </c>
    </row>
    <row r="13" spans="1:134" ht="16" thickBot="1">
      <c r="B13" s="40" t="s">
        <v>1329</v>
      </c>
      <c r="D13" s="7"/>
      <c r="E13" s="7"/>
      <c r="F13" s="7"/>
      <c r="G13" s="7"/>
      <c r="H13" s="363" t="s">
        <v>130</v>
      </c>
      <c r="I13" s="363"/>
      <c r="J13" s="348" t="s">
        <v>1492</v>
      </c>
      <c r="K13" s="43"/>
      <c r="L13" s="145"/>
      <c r="M13" s="146"/>
      <c r="N13" s="146"/>
      <c r="O13" s="146"/>
      <c r="P13" s="146"/>
      <c r="Q13" s="147"/>
      <c r="U13" s="142" t="s">
        <v>345</v>
      </c>
    </row>
    <row r="14" spans="1:134" ht="23.5" customHeight="1">
      <c r="F14" s="144"/>
      <c r="G14" s="144"/>
      <c r="H14" s="144"/>
      <c r="I14" s="144"/>
      <c r="J14" s="144"/>
      <c r="K14" s="144"/>
    </row>
    <row r="15" spans="1:134" ht="13">
      <c r="A15" s="4"/>
      <c r="B15" s="148">
        <v>1</v>
      </c>
      <c r="C15" s="148">
        <v>2</v>
      </c>
      <c r="D15" s="148">
        <v>3</v>
      </c>
      <c r="E15" s="148">
        <v>4</v>
      </c>
      <c r="F15" s="148">
        <v>5</v>
      </c>
      <c r="G15" s="148">
        <v>6</v>
      </c>
      <c r="H15" s="148">
        <v>7</v>
      </c>
      <c r="I15" s="148">
        <v>8</v>
      </c>
      <c r="J15" s="148">
        <v>9</v>
      </c>
      <c r="K15" s="148">
        <v>10</v>
      </c>
      <c r="L15" s="148">
        <v>11</v>
      </c>
      <c r="M15" s="148">
        <v>12</v>
      </c>
      <c r="N15" s="148">
        <v>13</v>
      </c>
      <c r="U15" s="142" t="s">
        <v>364</v>
      </c>
    </row>
    <row r="16" spans="1:134" ht="42" customHeight="1" thickBot="1">
      <c r="A16" s="149"/>
      <c r="B16" s="26" t="s">
        <v>28</v>
      </c>
      <c r="C16" s="27" t="s">
        <v>29</v>
      </c>
      <c r="D16" s="27" t="s">
        <v>4</v>
      </c>
      <c r="E16" s="27" t="s">
        <v>5</v>
      </c>
      <c r="F16" s="27" t="s">
        <v>30</v>
      </c>
      <c r="G16" s="150" t="s">
        <v>16</v>
      </c>
      <c r="H16" s="151" t="s">
        <v>17</v>
      </c>
      <c r="I16" s="150" t="s">
        <v>16</v>
      </c>
      <c r="J16" s="151" t="s">
        <v>17</v>
      </c>
      <c r="K16" s="150" t="s">
        <v>16</v>
      </c>
      <c r="L16" s="151" t="s">
        <v>17</v>
      </c>
      <c r="M16" s="179" t="s">
        <v>231</v>
      </c>
      <c r="N16" s="179" t="s">
        <v>234</v>
      </c>
      <c r="U16" s="142" t="s">
        <v>365</v>
      </c>
    </row>
    <row r="17" spans="1:21" ht="25.5">
      <c r="A17" s="149"/>
      <c r="B17" s="2" t="s">
        <v>19</v>
      </c>
      <c r="C17" s="3" t="s">
        <v>20</v>
      </c>
      <c r="D17" s="3" t="s">
        <v>6</v>
      </c>
      <c r="E17" s="3" t="s">
        <v>7</v>
      </c>
      <c r="F17" s="3" t="s">
        <v>8</v>
      </c>
      <c r="G17" s="152"/>
      <c r="H17" s="153"/>
      <c r="I17" s="152"/>
      <c r="J17" s="153"/>
      <c r="K17" s="152"/>
      <c r="L17" s="153"/>
      <c r="M17" s="180"/>
      <c r="N17" s="180"/>
      <c r="U17" s="142" t="s">
        <v>406</v>
      </c>
    </row>
    <row r="18" spans="1:21">
      <c r="A18" s="1">
        <v>1</v>
      </c>
      <c r="B18" s="189" t="s">
        <v>1493</v>
      </c>
      <c r="C18" s="117" t="s">
        <v>1341</v>
      </c>
      <c r="D18" s="148"/>
      <c r="E18" s="148"/>
      <c r="F18" s="213">
        <v>110023</v>
      </c>
      <c r="G18" s="187">
        <v>44562</v>
      </c>
      <c r="H18" s="187">
        <v>44926</v>
      </c>
      <c r="I18" s="187"/>
      <c r="J18" s="187"/>
      <c r="K18" s="187"/>
      <c r="L18" s="187"/>
      <c r="U18" s="142" t="s">
        <v>1253</v>
      </c>
    </row>
    <row r="19" spans="1:21">
      <c r="A19" s="1">
        <f t="shared" ref="A19:A50" si="0">A18+1</f>
        <v>2</v>
      </c>
      <c r="B19" s="189" t="s">
        <v>1494</v>
      </c>
      <c r="C19" s="117" t="s">
        <v>1342</v>
      </c>
      <c r="D19" s="148"/>
      <c r="E19" s="148"/>
      <c r="F19" s="213">
        <v>110050</v>
      </c>
      <c r="G19" s="187">
        <v>44562</v>
      </c>
      <c r="H19" s="187">
        <v>44926</v>
      </c>
      <c r="I19" s="187"/>
      <c r="J19" s="187"/>
      <c r="K19" s="187"/>
      <c r="L19" s="187"/>
      <c r="U19" s="142" t="s">
        <v>1252</v>
      </c>
    </row>
    <row r="20" spans="1:21">
      <c r="A20" s="1">
        <f t="shared" si="0"/>
        <v>3</v>
      </c>
      <c r="B20" s="189" t="s">
        <v>1495</v>
      </c>
      <c r="C20" s="117" t="s">
        <v>1343</v>
      </c>
      <c r="D20" s="148"/>
      <c r="E20" s="148"/>
      <c r="F20" s="213">
        <v>110071</v>
      </c>
      <c r="G20" s="187">
        <v>44440</v>
      </c>
      <c r="H20" s="187">
        <v>44804</v>
      </c>
      <c r="I20" s="187"/>
      <c r="J20" s="187"/>
      <c r="K20" s="187"/>
      <c r="L20" s="187"/>
      <c r="N20" s="186"/>
    </row>
    <row r="21" spans="1:21">
      <c r="A21" s="1">
        <f t="shared" si="0"/>
        <v>4</v>
      </c>
      <c r="B21" s="189" t="s">
        <v>1496</v>
      </c>
      <c r="C21" s="117" t="s">
        <v>1344</v>
      </c>
      <c r="D21" s="148"/>
      <c r="E21" s="148"/>
      <c r="F21" s="213">
        <v>110034</v>
      </c>
      <c r="G21" s="187">
        <v>44378</v>
      </c>
      <c r="H21" s="187">
        <v>44742</v>
      </c>
      <c r="I21" s="187"/>
      <c r="J21" s="187"/>
      <c r="K21" s="187"/>
      <c r="L21" s="187"/>
      <c r="N21" s="186"/>
    </row>
    <row r="22" spans="1:21">
      <c r="A22" s="1">
        <f t="shared" si="0"/>
        <v>5</v>
      </c>
      <c r="B22" s="189" t="s">
        <v>1497</v>
      </c>
      <c r="C22" s="117" t="s">
        <v>1345</v>
      </c>
      <c r="D22" s="148"/>
      <c r="E22" s="148"/>
      <c r="F22" s="213">
        <v>111327</v>
      </c>
      <c r="G22" s="187">
        <v>44378</v>
      </c>
      <c r="H22" s="187">
        <v>44742</v>
      </c>
      <c r="I22" s="187"/>
      <c r="J22" s="187"/>
      <c r="K22" s="187"/>
      <c r="L22" s="187"/>
      <c r="N22" s="186"/>
    </row>
    <row r="23" spans="1:21">
      <c r="A23" s="1">
        <f t="shared" si="0"/>
        <v>6</v>
      </c>
      <c r="B23" s="189" t="s">
        <v>1498</v>
      </c>
      <c r="C23" s="117" t="s">
        <v>1346</v>
      </c>
      <c r="D23" s="148"/>
      <c r="E23" s="148"/>
      <c r="F23" s="213">
        <v>111302</v>
      </c>
      <c r="G23" s="187">
        <v>44287</v>
      </c>
      <c r="H23" s="187">
        <v>44651</v>
      </c>
      <c r="I23" s="187"/>
      <c r="J23" s="187"/>
      <c r="K23" s="187"/>
      <c r="L23" s="187"/>
      <c r="N23" s="186"/>
    </row>
    <row r="24" spans="1:21">
      <c r="A24" s="1">
        <f t="shared" si="0"/>
        <v>7</v>
      </c>
      <c r="B24" s="189" t="s">
        <v>1499</v>
      </c>
      <c r="C24" s="117" t="s">
        <v>1347</v>
      </c>
      <c r="D24" s="148"/>
      <c r="E24" s="148"/>
      <c r="F24" s="213">
        <v>111332</v>
      </c>
      <c r="G24" s="187">
        <v>44470</v>
      </c>
      <c r="H24" s="187">
        <v>44834</v>
      </c>
      <c r="I24" s="187"/>
      <c r="J24" s="187"/>
      <c r="K24" s="187"/>
      <c r="L24" s="187"/>
      <c r="N24" s="186"/>
    </row>
    <row r="25" spans="1:21">
      <c r="A25" s="1">
        <f t="shared" si="0"/>
        <v>8</v>
      </c>
      <c r="B25" s="189" t="s">
        <v>1500</v>
      </c>
      <c r="C25" s="117" t="s">
        <v>1348</v>
      </c>
      <c r="D25" s="148"/>
      <c r="E25" s="148"/>
      <c r="F25" s="213">
        <v>110113</v>
      </c>
      <c r="G25" s="187">
        <v>44562</v>
      </c>
      <c r="H25" s="187">
        <v>44926</v>
      </c>
      <c r="I25" s="187"/>
      <c r="J25" s="187"/>
      <c r="K25" s="187"/>
      <c r="L25" s="187"/>
      <c r="N25" s="186"/>
    </row>
    <row r="26" spans="1:21">
      <c r="A26" s="1">
        <f t="shared" si="0"/>
        <v>9</v>
      </c>
      <c r="B26" s="189" t="s">
        <v>1501</v>
      </c>
      <c r="C26" s="117" t="s">
        <v>1349</v>
      </c>
      <c r="D26" s="148"/>
      <c r="E26" s="148"/>
      <c r="F26" s="213">
        <v>111334</v>
      </c>
      <c r="G26" s="187">
        <v>44562</v>
      </c>
      <c r="H26" s="187">
        <v>44926</v>
      </c>
      <c r="I26" s="187"/>
      <c r="J26" s="187"/>
      <c r="K26" s="187"/>
      <c r="L26" s="187"/>
      <c r="N26" s="186"/>
    </row>
    <row r="27" spans="1:21">
      <c r="A27" s="1">
        <f t="shared" si="0"/>
        <v>10</v>
      </c>
      <c r="B27" s="189" t="s">
        <v>1502</v>
      </c>
      <c r="C27" s="117" t="s">
        <v>1350</v>
      </c>
      <c r="D27" s="148"/>
      <c r="E27" s="148"/>
      <c r="F27" s="213">
        <v>110024</v>
      </c>
      <c r="G27" s="187">
        <v>44378</v>
      </c>
      <c r="H27" s="187">
        <v>44742</v>
      </c>
      <c r="I27" s="187"/>
      <c r="J27" s="187"/>
      <c r="K27" s="187"/>
      <c r="L27" s="187"/>
      <c r="N27" s="186"/>
    </row>
    <row r="28" spans="1:21">
      <c r="A28" s="1">
        <f t="shared" si="0"/>
        <v>11</v>
      </c>
      <c r="B28" s="189" t="s">
        <v>1330</v>
      </c>
      <c r="C28" s="117" t="s">
        <v>1351</v>
      </c>
      <c r="D28" s="148"/>
      <c r="E28" s="148"/>
      <c r="F28" s="213">
        <v>110030</v>
      </c>
      <c r="G28" s="187">
        <v>44470</v>
      </c>
      <c r="H28" s="187">
        <v>44742</v>
      </c>
      <c r="I28" s="187"/>
      <c r="J28" s="187"/>
      <c r="K28" s="187"/>
      <c r="L28" s="187"/>
      <c r="N28" s="186"/>
    </row>
    <row r="29" spans="1:21">
      <c r="A29" s="1">
        <f t="shared" si="0"/>
        <v>12</v>
      </c>
      <c r="B29" s="189" t="s">
        <v>1503</v>
      </c>
      <c r="C29" s="117" t="s">
        <v>1352</v>
      </c>
      <c r="D29" s="148"/>
      <c r="E29" s="148"/>
      <c r="F29" s="213">
        <v>111324</v>
      </c>
      <c r="G29" s="187">
        <v>44317</v>
      </c>
      <c r="H29" s="187">
        <v>44681</v>
      </c>
      <c r="I29" s="187"/>
      <c r="J29" s="187"/>
      <c r="K29" s="187"/>
      <c r="L29" s="187"/>
      <c r="N29" s="186"/>
    </row>
    <row r="30" spans="1:21">
      <c r="A30" s="1">
        <f t="shared" si="0"/>
        <v>13</v>
      </c>
      <c r="B30" s="189" t="s">
        <v>1504</v>
      </c>
      <c r="C30" s="117" t="s">
        <v>1353</v>
      </c>
      <c r="D30" s="148"/>
      <c r="E30" s="148"/>
      <c r="F30" s="213">
        <v>110236</v>
      </c>
      <c r="G30" s="187">
        <v>44378</v>
      </c>
      <c r="H30" s="187">
        <v>44742</v>
      </c>
      <c r="I30" s="187"/>
      <c r="J30" s="187"/>
      <c r="K30" s="187"/>
      <c r="L30" s="187"/>
      <c r="N30" s="186"/>
    </row>
    <row r="31" spans="1:21">
      <c r="A31" s="1">
        <f t="shared" si="0"/>
        <v>14</v>
      </c>
      <c r="B31" s="189" t="s">
        <v>1505</v>
      </c>
      <c r="C31" s="117" t="s">
        <v>1354</v>
      </c>
      <c r="D31" s="148"/>
      <c r="E31" s="148"/>
      <c r="F31" s="213">
        <v>113301</v>
      </c>
      <c r="G31" s="187">
        <v>44562</v>
      </c>
      <c r="H31" s="187">
        <v>44926</v>
      </c>
      <c r="I31" s="187"/>
      <c r="J31" s="187"/>
      <c r="K31" s="187"/>
      <c r="L31" s="187"/>
      <c r="N31" s="186"/>
    </row>
    <row r="32" spans="1:21">
      <c r="A32" s="1">
        <f t="shared" si="0"/>
        <v>15</v>
      </c>
      <c r="B32" s="189" t="s">
        <v>1506</v>
      </c>
      <c r="C32" s="117" t="s">
        <v>1355</v>
      </c>
      <c r="D32" s="148"/>
      <c r="E32" s="148"/>
      <c r="F32" s="213">
        <v>110079</v>
      </c>
      <c r="G32" s="187">
        <v>44562</v>
      </c>
      <c r="H32" s="187">
        <v>44926</v>
      </c>
      <c r="I32" s="187"/>
      <c r="J32" s="187"/>
      <c r="K32" s="187"/>
      <c r="L32" s="187"/>
      <c r="N32" s="186"/>
    </row>
    <row r="33" spans="1:14">
      <c r="A33" s="1">
        <f t="shared" si="0"/>
        <v>16</v>
      </c>
      <c r="B33" s="189" t="s">
        <v>1507</v>
      </c>
      <c r="C33" s="117" t="s">
        <v>1356</v>
      </c>
      <c r="D33" s="148"/>
      <c r="E33" s="148"/>
      <c r="F33" s="213">
        <v>113300</v>
      </c>
      <c r="G33" s="187">
        <v>44562</v>
      </c>
      <c r="H33" s="187">
        <v>44926</v>
      </c>
      <c r="I33" s="187"/>
      <c r="J33" s="187"/>
      <c r="K33" s="187"/>
      <c r="L33" s="187"/>
      <c r="N33" s="186"/>
    </row>
    <row r="34" spans="1:14">
      <c r="A34" s="1">
        <f t="shared" si="0"/>
        <v>17</v>
      </c>
      <c r="B34" s="189" t="s">
        <v>1508</v>
      </c>
      <c r="C34" s="117" t="s">
        <v>1357</v>
      </c>
      <c r="D34" s="148"/>
      <c r="E34" s="148"/>
      <c r="F34" s="213">
        <v>111308</v>
      </c>
      <c r="G34" s="187">
        <v>44378</v>
      </c>
      <c r="H34" s="187">
        <v>44742</v>
      </c>
      <c r="I34" s="187"/>
      <c r="J34" s="187"/>
      <c r="K34" s="187"/>
      <c r="L34" s="187"/>
      <c r="N34" s="186"/>
    </row>
    <row r="35" spans="1:14">
      <c r="A35" s="1">
        <f t="shared" si="0"/>
        <v>18</v>
      </c>
      <c r="B35" s="189" t="s">
        <v>1509</v>
      </c>
      <c r="C35" s="117" t="s">
        <v>1358</v>
      </c>
      <c r="D35" s="148"/>
      <c r="E35" s="148"/>
      <c r="F35" s="213">
        <v>110089</v>
      </c>
      <c r="G35" s="187">
        <v>44562</v>
      </c>
      <c r="H35" s="187">
        <v>44926</v>
      </c>
      <c r="I35" s="187"/>
      <c r="J35" s="187"/>
      <c r="K35" s="187"/>
      <c r="L35" s="187"/>
      <c r="N35" s="186"/>
    </row>
    <row r="36" spans="1:14">
      <c r="A36" s="1">
        <f t="shared" si="0"/>
        <v>19</v>
      </c>
      <c r="B36" s="189" t="s">
        <v>1331</v>
      </c>
      <c r="C36" s="117" t="s">
        <v>1359</v>
      </c>
      <c r="D36" s="148"/>
      <c r="E36" s="148"/>
      <c r="F36" s="213">
        <v>110164</v>
      </c>
      <c r="G36" s="187">
        <v>44378</v>
      </c>
      <c r="H36" s="187">
        <v>44742</v>
      </c>
      <c r="I36" s="187"/>
      <c r="J36" s="187"/>
      <c r="K36" s="187"/>
      <c r="L36" s="187"/>
      <c r="N36" s="186"/>
    </row>
    <row r="37" spans="1:14">
      <c r="A37" s="1">
        <f t="shared" si="0"/>
        <v>20</v>
      </c>
      <c r="B37" s="189" t="s">
        <v>1332</v>
      </c>
      <c r="C37" s="117" t="s">
        <v>1360</v>
      </c>
      <c r="D37" s="148"/>
      <c r="E37" s="148"/>
      <c r="F37" s="213">
        <v>110201</v>
      </c>
      <c r="G37" s="187">
        <v>44378</v>
      </c>
      <c r="H37" s="187">
        <v>44742</v>
      </c>
      <c r="I37" s="187"/>
      <c r="J37" s="187"/>
      <c r="K37" s="187"/>
      <c r="L37" s="187"/>
      <c r="N37" s="186"/>
    </row>
    <row r="38" spans="1:14">
      <c r="A38" s="1">
        <f t="shared" si="0"/>
        <v>21</v>
      </c>
      <c r="B38" s="189" t="s">
        <v>1510</v>
      </c>
      <c r="C38" s="117" t="s">
        <v>1361</v>
      </c>
      <c r="D38" s="148"/>
      <c r="E38" s="148"/>
      <c r="F38" s="213">
        <v>110105</v>
      </c>
      <c r="G38" s="187">
        <v>44470</v>
      </c>
      <c r="H38" s="187">
        <v>44834</v>
      </c>
      <c r="I38" s="187"/>
      <c r="J38" s="187"/>
      <c r="K38" s="187"/>
      <c r="L38" s="187"/>
      <c r="N38" s="186"/>
    </row>
    <row r="39" spans="1:14">
      <c r="A39" s="1">
        <f t="shared" si="0"/>
        <v>22</v>
      </c>
      <c r="B39" s="189" t="s">
        <v>1511</v>
      </c>
      <c r="C39" s="117" t="s">
        <v>1362</v>
      </c>
      <c r="D39" s="148"/>
      <c r="E39" s="148"/>
      <c r="F39" s="213">
        <v>110104</v>
      </c>
      <c r="G39" s="187">
        <v>44378</v>
      </c>
      <c r="H39" s="187">
        <v>44742</v>
      </c>
      <c r="I39" s="187"/>
      <c r="J39" s="187"/>
      <c r="K39" s="187"/>
      <c r="L39" s="187"/>
      <c r="N39" s="186"/>
    </row>
    <row r="40" spans="1:14">
      <c r="A40" s="1">
        <f t="shared" si="0"/>
        <v>23</v>
      </c>
      <c r="B40" s="189" t="s">
        <v>1512</v>
      </c>
      <c r="C40" s="117" t="s">
        <v>1363</v>
      </c>
      <c r="D40" s="148"/>
      <c r="E40" s="148"/>
      <c r="F40" s="213">
        <v>110177</v>
      </c>
      <c r="G40" s="187">
        <v>44287</v>
      </c>
      <c r="H40" s="187">
        <v>44651</v>
      </c>
      <c r="I40" s="187"/>
      <c r="J40" s="187"/>
      <c r="K40" s="187"/>
      <c r="L40" s="187"/>
      <c r="N40" s="186"/>
    </row>
    <row r="41" spans="1:14">
      <c r="A41" s="1">
        <f t="shared" si="0"/>
        <v>24</v>
      </c>
      <c r="B41" s="189" t="s">
        <v>1513</v>
      </c>
      <c r="C41" s="117" t="s">
        <v>1364</v>
      </c>
      <c r="D41" s="148"/>
      <c r="E41" s="148"/>
      <c r="F41" s="213">
        <v>110092</v>
      </c>
      <c r="G41" s="187">
        <v>44470</v>
      </c>
      <c r="H41" s="187">
        <v>44834</v>
      </c>
      <c r="I41" s="187"/>
      <c r="J41" s="187"/>
      <c r="K41" s="187"/>
      <c r="L41" s="187"/>
      <c r="N41" s="186"/>
    </row>
    <row r="42" spans="1:14">
      <c r="A42" s="1">
        <f t="shared" si="0"/>
        <v>25</v>
      </c>
      <c r="B42" s="189" t="s">
        <v>1514</v>
      </c>
      <c r="C42" s="117" t="s">
        <v>1365</v>
      </c>
      <c r="D42" s="148"/>
      <c r="E42" s="148"/>
      <c r="F42" s="213">
        <v>110194</v>
      </c>
      <c r="G42" s="187">
        <v>44378</v>
      </c>
      <c r="H42" s="187">
        <v>44742</v>
      </c>
      <c r="I42" s="187"/>
      <c r="J42" s="187"/>
      <c r="K42" s="187"/>
      <c r="L42" s="187"/>
      <c r="N42" s="186"/>
    </row>
    <row r="43" spans="1:14">
      <c r="A43" s="1">
        <f t="shared" si="0"/>
        <v>26</v>
      </c>
      <c r="B43" s="189" t="s">
        <v>1515</v>
      </c>
      <c r="C43" s="117" t="s">
        <v>1366</v>
      </c>
      <c r="D43" s="148"/>
      <c r="E43" s="148"/>
      <c r="F43" s="213">
        <v>110073</v>
      </c>
      <c r="G43" s="187">
        <v>44409</v>
      </c>
      <c r="H43" s="187">
        <v>44773</v>
      </c>
      <c r="I43" s="187"/>
      <c r="J43" s="187"/>
      <c r="K43" s="187"/>
      <c r="L43" s="187"/>
      <c r="N43" s="186"/>
    </row>
    <row r="44" spans="1:14">
      <c r="A44" s="1">
        <f t="shared" si="0"/>
        <v>27</v>
      </c>
      <c r="B44" s="189" t="s">
        <v>1516</v>
      </c>
      <c r="C44" s="117" t="s">
        <v>1367</v>
      </c>
      <c r="D44" s="148"/>
      <c r="E44" s="148"/>
      <c r="F44" s="213">
        <v>110075</v>
      </c>
      <c r="G44" s="187">
        <v>44470</v>
      </c>
      <c r="H44" s="187">
        <v>44834</v>
      </c>
      <c r="I44" s="187"/>
      <c r="J44" s="187"/>
      <c r="K44" s="187"/>
      <c r="L44" s="187"/>
      <c r="N44" s="186"/>
    </row>
    <row r="45" spans="1:14">
      <c r="A45" s="1">
        <f t="shared" si="0"/>
        <v>28</v>
      </c>
      <c r="B45" s="189" t="s">
        <v>1517</v>
      </c>
      <c r="C45" s="117" t="s">
        <v>1368</v>
      </c>
      <c r="D45" s="148"/>
      <c r="E45" s="148"/>
      <c r="F45" s="213">
        <v>111306</v>
      </c>
      <c r="G45" s="187">
        <v>44378</v>
      </c>
      <c r="H45" s="187">
        <v>44742</v>
      </c>
      <c r="I45" s="187"/>
      <c r="J45" s="187"/>
      <c r="K45" s="187"/>
      <c r="L45" s="187"/>
      <c r="N45" s="186"/>
    </row>
    <row r="46" spans="1:14">
      <c r="A46" s="1">
        <f t="shared" si="0"/>
        <v>29</v>
      </c>
      <c r="B46" s="189" t="s">
        <v>1518</v>
      </c>
      <c r="C46" s="117" t="s">
        <v>1369</v>
      </c>
      <c r="D46" s="148"/>
      <c r="E46" s="148"/>
      <c r="F46" s="213">
        <v>111337</v>
      </c>
      <c r="G46" s="187">
        <v>44378</v>
      </c>
      <c r="H46" s="187">
        <v>44742</v>
      </c>
      <c r="I46" s="187"/>
      <c r="J46" s="187"/>
      <c r="K46" s="187"/>
      <c r="L46" s="187"/>
      <c r="N46" s="186"/>
    </row>
    <row r="47" spans="1:14">
      <c r="A47" s="1">
        <f t="shared" si="0"/>
        <v>30</v>
      </c>
      <c r="B47" s="189" t="s">
        <v>1519</v>
      </c>
      <c r="C47" s="117" t="s">
        <v>1370</v>
      </c>
      <c r="D47" s="148"/>
      <c r="E47" s="148"/>
      <c r="F47" s="213">
        <v>110109</v>
      </c>
      <c r="G47" s="187">
        <v>44378</v>
      </c>
      <c r="H47" s="187">
        <v>44742</v>
      </c>
      <c r="I47" s="187"/>
      <c r="J47" s="187"/>
      <c r="K47" s="187"/>
      <c r="L47" s="187"/>
      <c r="N47" s="186"/>
    </row>
    <row r="48" spans="1:14">
      <c r="A48" s="1">
        <f t="shared" si="0"/>
        <v>31</v>
      </c>
      <c r="B48" s="189" t="s">
        <v>1520</v>
      </c>
      <c r="C48" s="117" t="s">
        <v>1371</v>
      </c>
      <c r="D48" s="148"/>
      <c r="E48" s="148"/>
      <c r="F48" s="213">
        <v>110076</v>
      </c>
      <c r="G48" s="187">
        <v>44440</v>
      </c>
      <c r="H48" s="187">
        <v>44804</v>
      </c>
      <c r="I48" s="187"/>
      <c r="J48" s="187"/>
      <c r="K48" s="187"/>
      <c r="L48" s="187"/>
      <c r="N48" s="186"/>
    </row>
    <row r="49" spans="1:14">
      <c r="A49" s="1">
        <f t="shared" si="0"/>
        <v>32</v>
      </c>
      <c r="B49" s="189" t="s">
        <v>1333</v>
      </c>
      <c r="C49" s="117" t="s">
        <v>1372</v>
      </c>
      <c r="D49" s="148"/>
      <c r="E49" s="148"/>
      <c r="F49" s="213">
        <v>110192</v>
      </c>
      <c r="G49" s="187">
        <v>44440</v>
      </c>
      <c r="H49" s="187">
        <v>44742</v>
      </c>
      <c r="I49" s="187"/>
      <c r="J49" s="187"/>
      <c r="K49" s="187"/>
      <c r="L49" s="187"/>
      <c r="N49" s="186"/>
    </row>
    <row r="50" spans="1:14">
      <c r="A50" s="1">
        <f t="shared" si="0"/>
        <v>33</v>
      </c>
      <c r="B50" s="189" t="s">
        <v>1521</v>
      </c>
      <c r="C50" s="117" t="s">
        <v>1373</v>
      </c>
      <c r="D50" s="148"/>
      <c r="E50" s="148"/>
      <c r="F50" s="213">
        <v>110226</v>
      </c>
      <c r="G50" s="187">
        <v>44440</v>
      </c>
      <c r="H50" s="187">
        <v>44804</v>
      </c>
      <c r="I50" s="187"/>
      <c r="J50" s="187"/>
      <c r="K50" s="187"/>
      <c r="L50" s="187"/>
      <c r="N50" s="186"/>
    </row>
    <row r="51" spans="1:14">
      <c r="A51" s="1">
        <f t="shared" ref="A51:A67" si="1">A50+1</f>
        <v>34</v>
      </c>
      <c r="B51" s="189" t="s">
        <v>1522</v>
      </c>
      <c r="C51" s="117" t="s">
        <v>1374</v>
      </c>
      <c r="D51" s="148"/>
      <c r="E51" s="148"/>
      <c r="F51" s="213">
        <v>110230</v>
      </c>
      <c r="G51" s="187">
        <v>44440</v>
      </c>
      <c r="H51" s="187">
        <v>44804</v>
      </c>
      <c r="I51" s="187"/>
      <c r="J51" s="187"/>
      <c r="K51" s="187"/>
      <c r="L51" s="187"/>
      <c r="N51" s="186"/>
    </row>
    <row r="52" spans="1:14">
      <c r="A52" s="1">
        <f t="shared" si="1"/>
        <v>35</v>
      </c>
      <c r="B52" s="189" t="s">
        <v>1523</v>
      </c>
      <c r="C52" s="117" t="s">
        <v>1375</v>
      </c>
      <c r="D52" s="148"/>
      <c r="E52" s="148"/>
      <c r="F52" s="213">
        <v>112006</v>
      </c>
      <c r="G52" s="187">
        <v>44440</v>
      </c>
      <c r="H52" s="187">
        <v>44804</v>
      </c>
      <c r="I52" s="187"/>
      <c r="J52" s="187"/>
      <c r="K52" s="187"/>
      <c r="L52" s="187"/>
      <c r="N52" s="186"/>
    </row>
    <row r="53" spans="1:14">
      <c r="A53" s="1">
        <f t="shared" si="1"/>
        <v>36</v>
      </c>
      <c r="B53" s="189" t="s">
        <v>1524</v>
      </c>
      <c r="C53" s="117" t="s">
        <v>1376</v>
      </c>
      <c r="D53" s="148"/>
      <c r="E53" s="148"/>
      <c r="F53" s="213">
        <v>113031</v>
      </c>
      <c r="G53" s="187">
        <v>44440</v>
      </c>
      <c r="H53" s="187">
        <v>44804</v>
      </c>
      <c r="I53" s="187"/>
      <c r="J53" s="187"/>
      <c r="K53" s="187"/>
      <c r="L53" s="187"/>
      <c r="N53" s="186"/>
    </row>
    <row r="54" spans="1:14">
      <c r="A54" s="1">
        <f t="shared" si="1"/>
        <v>37</v>
      </c>
      <c r="B54" s="189" t="s">
        <v>1525</v>
      </c>
      <c r="C54" s="117" t="s">
        <v>1377</v>
      </c>
      <c r="D54" s="148" t="s">
        <v>1486</v>
      </c>
      <c r="E54" s="148"/>
      <c r="F54" s="213">
        <v>110010</v>
      </c>
      <c r="G54" s="187">
        <v>44440</v>
      </c>
      <c r="H54" s="187">
        <v>44804</v>
      </c>
      <c r="I54" s="187"/>
      <c r="J54" s="187"/>
      <c r="K54" s="187"/>
      <c r="L54" s="187"/>
      <c r="N54" s="186"/>
    </row>
    <row r="55" spans="1:14">
      <c r="A55" s="1">
        <f t="shared" si="1"/>
        <v>38</v>
      </c>
      <c r="B55" s="189" t="s">
        <v>1526</v>
      </c>
      <c r="C55" s="117" t="s">
        <v>1378</v>
      </c>
      <c r="D55" s="148"/>
      <c r="E55" s="148"/>
      <c r="F55" s="213">
        <v>110078</v>
      </c>
      <c r="G55" s="187">
        <v>44440</v>
      </c>
      <c r="H55" s="187">
        <v>44804</v>
      </c>
      <c r="I55" s="187"/>
      <c r="J55" s="187"/>
      <c r="K55" s="187"/>
      <c r="L55" s="187"/>
      <c r="N55" s="186"/>
    </row>
    <row r="56" spans="1:14">
      <c r="A56" s="1">
        <f t="shared" si="1"/>
        <v>39</v>
      </c>
      <c r="B56" s="189" t="s">
        <v>1527</v>
      </c>
      <c r="C56" s="117" t="s">
        <v>1379</v>
      </c>
      <c r="D56" s="148"/>
      <c r="E56" s="148"/>
      <c r="F56" s="213">
        <v>113032</v>
      </c>
      <c r="G56" s="187">
        <v>44470</v>
      </c>
      <c r="H56" s="187">
        <v>44834</v>
      </c>
      <c r="I56" s="187"/>
      <c r="J56" s="187"/>
      <c r="K56" s="187"/>
      <c r="L56" s="187"/>
      <c r="N56" s="186"/>
    </row>
    <row r="57" spans="1:14">
      <c r="A57" s="1">
        <f t="shared" si="1"/>
        <v>40</v>
      </c>
      <c r="B57" s="189" t="s">
        <v>1334</v>
      </c>
      <c r="C57" s="117" t="s">
        <v>1380</v>
      </c>
      <c r="D57" s="148"/>
      <c r="E57" s="148"/>
      <c r="F57" s="213">
        <v>113033</v>
      </c>
      <c r="G57" s="187">
        <v>44287</v>
      </c>
      <c r="H57" s="187">
        <v>44651</v>
      </c>
      <c r="I57" s="187"/>
      <c r="J57" s="187"/>
      <c r="K57" s="187"/>
      <c r="L57" s="187"/>
      <c r="N57" s="186"/>
    </row>
    <row r="58" spans="1:14">
      <c r="A58" s="1">
        <f t="shared" si="1"/>
        <v>41</v>
      </c>
      <c r="B58" s="189" t="s">
        <v>1528</v>
      </c>
      <c r="C58" s="117" t="s">
        <v>1381</v>
      </c>
      <c r="D58" s="148"/>
      <c r="E58" s="148"/>
      <c r="F58" s="213">
        <v>110142</v>
      </c>
      <c r="G58" s="187">
        <v>44470</v>
      </c>
      <c r="H58" s="187">
        <v>44834</v>
      </c>
      <c r="I58" s="187"/>
      <c r="J58" s="187"/>
      <c r="K58" s="187"/>
      <c r="L58" s="187"/>
      <c r="N58" s="186"/>
    </row>
    <row r="59" spans="1:14">
      <c r="A59" s="1">
        <f t="shared" si="1"/>
        <v>42</v>
      </c>
      <c r="B59" s="189" t="s">
        <v>1529</v>
      </c>
      <c r="C59" s="117" t="s">
        <v>1382</v>
      </c>
      <c r="D59" s="148"/>
      <c r="E59" s="148"/>
      <c r="F59" s="213">
        <v>110125</v>
      </c>
      <c r="G59" s="187">
        <v>44317</v>
      </c>
      <c r="H59" s="187">
        <v>44681</v>
      </c>
      <c r="I59" s="187"/>
      <c r="J59" s="187"/>
      <c r="K59" s="187"/>
      <c r="L59" s="187"/>
      <c r="N59" s="186"/>
    </row>
    <row r="60" spans="1:14">
      <c r="A60" s="1">
        <f t="shared" si="1"/>
        <v>43</v>
      </c>
      <c r="B60" s="189" t="s">
        <v>1530</v>
      </c>
      <c r="C60" s="117" t="s">
        <v>1383</v>
      </c>
      <c r="D60" s="148"/>
      <c r="E60" s="148"/>
      <c r="F60" s="213">
        <v>110189</v>
      </c>
      <c r="G60" s="187">
        <v>44562</v>
      </c>
      <c r="H60" s="187">
        <v>44926</v>
      </c>
      <c r="I60" s="187"/>
      <c r="J60" s="187"/>
      <c r="K60" s="187"/>
      <c r="L60" s="187"/>
      <c r="N60" s="186"/>
    </row>
    <row r="61" spans="1:14">
      <c r="A61" s="1">
        <f t="shared" si="1"/>
        <v>44</v>
      </c>
      <c r="B61" s="189" t="s">
        <v>1531</v>
      </c>
      <c r="C61" s="117" t="s">
        <v>1384</v>
      </c>
      <c r="D61" s="148"/>
      <c r="E61" s="148"/>
      <c r="F61" s="213">
        <v>110190</v>
      </c>
      <c r="G61" s="187">
        <v>44562</v>
      </c>
      <c r="H61" s="187">
        <v>44926</v>
      </c>
      <c r="I61" s="187"/>
      <c r="J61" s="187"/>
      <c r="K61" s="187"/>
      <c r="L61" s="187"/>
      <c r="N61" s="186"/>
    </row>
    <row r="62" spans="1:14">
      <c r="A62" s="1">
        <f t="shared" si="1"/>
        <v>45</v>
      </c>
      <c r="B62" s="189" t="s">
        <v>1532</v>
      </c>
      <c r="C62" s="117" t="s">
        <v>1385</v>
      </c>
      <c r="D62" s="148"/>
      <c r="E62" s="148"/>
      <c r="F62" s="213">
        <v>110054</v>
      </c>
      <c r="G62" s="187">
        <v>44562</v>
      </c>
      <c r="H62" s="187">
        <v>44926</v>
      </c>
      <c r="I62" s="187"/>
      <c r="J62" s="187"/>
      <c r="K62" s="187"/>
      <c r="L62" s="187"/>
      <c r="N62" s="186"/>
    </row>
    <row r="63" spans="1:14">
      <c r="A63" s="1">
        <f t="shared" si="1"/>
        <v>46</v>
      </c>
      <c r="B63" s="189" t="s">
        <v>1533</v>
      </c>
      <c r="C63" s="117" t="s">
        <v>1386</v>
      </c>
      <c r="D63" s="148"/>
      <c r="E63" s="148"/>
      <c r="F63" s="213">
        <v>110121</v>
      </c>
      <c r="G63" s="187">
        <v>44470</v>
      </c>
      <c r="H63" s="187">
        <v>44834</v>
      </c>
      <c r="I63" s="187"/>
      <c r="J63" s="187"/>
      <c r="K63" s="187"/>
      <c r="L63" s="187"/>
      <c r="N63" s="186"/>
    </row>
    <row r="64" spans="1:14">
      <c r="A64" s="1">
        <f t="shared" si="1"/>
        <v>47</v>
      </c>
      <c r="B64" s="189" t="s">
        <v>1534</v>
      </c>
      <c r="C64" s="117" t="s">
        <v>1387</v>
      </c>
      <c r="D64" s="148"/>
      <c r="E64" s="148"/>
      <c r="F64" s="213">
        <v>110079</v>
      </c>
      <c r="G64" s="187">
        <v>44562</v>
      </c>
      <c r="H64" s="187">
        <v>44926</v>
      </c>
      <c r="I64" s="187"/>
      <c r="J64" s="187"/>
      <c r="K64" s="187"/>
      <c r="L64" s="187"/>
      <c r="N64" s="186"/>
    </row>
    <row r="65" spans="1:14">
      <c r="A65" s="1">
        <f t="shared" si="1"/>
        <v>48</v>
      </c>
      <c r="B65" s="189" t="s">
        <v>1535</v>
      </c>
      <c r="C65" s="117" t="s">
        <v>1388</v>
      </c>
      <c r="D65" s="148"/>
      <c r="E65" s="148"/>
      <c r="F65" s="213">
        <v>110041</v>
      </c>
      <c r="G65" s="187">
        <v>44378</v>
      </c>
      <c r="H65" s="187">
        <v>44742</v>
      </c>
      <c r="I65" s="187"/>
      <c r="J65" s="187"/>
      <c r="K65" s="187"/>
      <c r="L65" s="187"/>
      <c r="N65" s="186"/>
    </row>
    <row r="66" spans="1:14">
      <c r="A66" s="1">
        <f t="shared" si="1"/>
        <v>49</v>
      </c>
      <c r="B66" s="189" t="s">
        <v>1536</v>
      </c>
      <c r="C66" s="117" t="s">
        <v>1389</v>
      </c>
      <c r="D66" s="148"/>
      <c r="E66" s="148"/>
      <c r="F66" s="213">
        <v>110001</v>
      </c>
      <c r="G66" s="187">
        <v>44470</v>
      </c>
      <c r="H66" s="187">
        <v>44834</v>
      </c>
      <c r="I66" s="187"/>
      <c r="J66" s="187"/>
      <c r="K66" s="187"/>
      <c r="L66" s="187"/>
      <c r="N66" s="186"/>
    </row>
    <row r="67" spans="1:14">
      <c r="A67" s="1">
        <f t="shared" si="1"/>
        <v>50</v>
      </c>
      <c r="B67" s="189" t="s">
        <v>1537</v>
      </c>
      <c r="C67" s="117" t="s">
        <v>1390</v>
      </c>
      <c r="D67" s="148"/>
      <c r="E67" s="148"/>
      <c r="F67" s="213">
        <v>113030</v>
      </c>
      <c r="G67" s="187">
        <v>44287</v>
      </c>
      <c r="H67" s="187">
        <v>44651</v>
      </c>
      <c r="I67" s="187"/>
      <c r="J67" s="187"/>
      <c r="K67" s="187"/>
      <c r="L67" s="187"/>
      <c r="N67" s="186"/>
    </row>
    <row r="68" spans="1:14">
      <c r="A68" s="1">
        <f t="shared" ref="A68:A105" si="2">A67+1</f>
        <v>51</v>
      </c>
      <c r="B68" s="108" t="s">
        <v>1538</v>
      </c>
      <c r="C68" s="117" t="s">
        <v>1391</v>
      </c>
      <c r="D68" s="117"/>
      <c r="E68" s="117"/>
      <c r="F68" s="213">
        <v>111320</v>
      </c>
      <c r="G68" s="154">
        <v>44378</v>
      </c>
      <c r="H68" s="154">
        <v>44742</v>
      </c>
      <c r="I68" s="154"/>
      <c r="J68" s="154"/>
      <c r="K68" s="154"/>
      <c r="L68" s="154"/>
      <c r="N68" s="186"/>
    </row>
    <row r="69" spans="1:14">
      <c r="A69" s="1">
        <f t="shared" si="2"/>
        <v>52</v>
      </c>
      <c r="B69" s="108" t="s">
        <v>1539</v>
      </c>
      <c r="C69" s="117" t="s">
        <v>1392</v>
      </c>
      <c r="D69" s="117"/>
      <c r="E69" s="117"/>
      <c r="F69" s="213">
        <v>110069</v>
      </c>
      <c r="G69" s="154">
        <v>44562</v>
      </c>
      <c r="H69" s="154">
        <v>44926</v>
      </c>
      <c r="I69" s="154"/>
      <c r="J69" s="154"/>
      <c r="K69" s="154"/>
      <c r="L69" s="154"/>
      <c r="N69" s="186"/>
    </row>
    <row r="70" spans="1:14" ht="13.15" customHeight="1">
      <c r="A70" s="1">
        <f t="shared" si="2"/>
        <v>53</v>
      </c>
      <c r="B70" s="108" t="s">
        <v>1540</v>
      </c>
      <c r="C70" s="117" t="s">
        <v>1393</v>
      </c>
      <c r="D70" s="117"/>
      <c r="E70" s="117"/>
      <c r="F70" s="213">
        <v>110130</v>
      </c>
      <c r="G70" s="154">
        <v>44531</v>
      </c>
      <c r="H70" s="154">
        <v>44895</v>
      </c>
      <c r="I70" s="154"/>
      <c r="J70" s="154"/>
      <c r="K70" s="154"/>
      <c r="L70" s="154"/>
      <c r="N70" s="186"/>
    </row>
    <row r="71" spans="1:14" ht="13.15" customHeight="1">
      <c r="A71" s="1">
        <f t="shared" si="2"/>
        <v>54</v>
      </c>
      <c r="B71" s="108" t="s">
        <v>1541</v>
      </c>
      <c r="C71" s="117" t="s">
        <v>1394</v>
      </c>
      <c r="D71" s="117"/>
      <c r="E71" s="117"/>
      <c r="F71" s="213">
        <v>111303</v>
      </c>
      <c r="G71" s="154">
        <v>44470</v>
      </c>
      <c r="H71" s="154">
        <v>44834</v>
      </c>
      <c r="I71" s="154"/>
      <c r="J71" s="154"/>
      <c r="K71" s="154"/>
      <c r="L71" s="154"/>
      <c r="N71" s="186"/>
    </row>
    <row r="72" spans="1:14" ht="13.15" customHeight="1">
      <c r="A72" s="1">
        <f t="shared" si="2"/>
        <v>55</v>
      </c>
      <c r="B72" s="108" t="s">
        <v>1542</v>
      </c>
      <c r="C72" s="117" t="s">
        <v>1395</v>
      </c>
      <c r="D72" s="117"/>
      <c r="E72" s="117"/>
      <c r="F72" s="213">
        <v>111333</v>
      </c>
      <c r="G72" s="154">
        <v>44470</v>
      </c>
      <c r="H72" s="154">
        <v>44834</v>
      </c>
      <c r="I72" s="154"/>
      <c r="J72" s="154"/>
      <c r="K72" s="154"/>
      <c r="L72" s="154"/>
      <c r="N72" s="186"/>
    </row>
    <row r="73" spans="1:14" ht="13.15" customHeight="1">
      <c r="A73" s="1">
        <f t="shared" si="2"/>
        <v>56</v>
      </c>
      <c r="B73" s="108" t="s">
        <v>1543</v>
      </c>
      <c r="C73" s="117" t="s">
        <v>1396</v>
      </c>
      <c r="D73" s="117"/>
      <c r="E73" s="117"/>
      <c r="F73" s="213">
        <v>110100</v>
      </c>
      <c r="G73" s="154">
        <v>44562</v>
      </c>
      <c r="H73" s="154">
        <v>44926</v>
      </c>
      <c r="I73" s="154"/>
      <c r="J73" s="154"/>
      <c r="K73" s="154"/>
      <c r="L73" s="154"/>
      <c r="N73" s="186"/>
    </row>
    <row r="74" spans="1:14" ht="13.15" customHeight="1">
      <c r="A74" s="1">
        <f t="shared" si="2"/>
        <v>57</v>
      </c>
      <c r="B74" s="108" t="s">
        <v>1544</v>
      </c>
      <c r="C74" s="117" t="s">
        <v>1397</v>
      </c>
      <c r="D74" s="117"/>
      <c r="E74" s="117"/>
      <c r="F74" s="213">
        <v>111311</v>
      </c>
      <c r="G74" s="154">
        <v>44562</v>
      </c>
      <c r="H74" s="154">
        <v>44926</v>
      </c>
      <c r="I74" s="154"/>
      <c r="J74" s="154"/>
      <c r="K74" s="154"/>
      <c r="L74" s="154"/>
      <c r="N74" s="186"/>
    </row>
    <row r="75" spans="1:14" ht="13.15" customHeight="1">
      <c r="A75" s="1">
        <f t="shared" si="2"/>
        <v>58</v>
      </c>
      <c r="B75" s="108" t="s">
        <v>1545</v>
      </c>
      <c r="C75" s="117" t="s">
        <v>1398</v>
      </c>
      <c r="D75" s="117"/>
      <c r="E75" s="117"/>
      <c r="F75" s="213">
        <v>110038</v>
      </c>
      <c r="G75" s="154">
        <v>44470</v>
      </c>
      <c r="H75" s="154">
        <v>44834</v>
      </c>
      <c r="I75" s="154"/>
      <c r="J75" s="154"/>
      <c r="K75" s="154"/>
      <c r="L75" s="154"/>
      <c r="N75" s="186"/>
    </row>
    <row r="76" spans="1:14" ht="13.15" customHeight="1">
      <c r="A76" s="1">
        <f t="shared" si="2"/>
        <v>59</v>
      </c>
      <c r="B76" s="108" t="s">
        <v>1546</v>
      </c>
      <c r="C76" s="117" t="s">
        <v>1399</v>
      </c>
      <c r="D76" s="117"/>
      <c r="E76" s="117"/>
      <c r="F76" s="213">
        <v>111335</v>
      </c>
      <c r="G76" s="154">
        <v>44531</v>
      </c>
      <c r="H76" s="154">
        <v>44895</v>
      </c>
      <c r="I76" s="154"/>
      <c r="J76" s="154"/>
      <c r="K76" s="154"/>
      <c r="L76" s="154"/>
      <c r="N76" s="186"/>
    </row>
    <row r="77" spans="1:14" ht="13.15" customHeight="1">
      <c r="A77" s="1">
        <f t="shared" si="2"/>
        <v>60</v>
      </c>
      <c r="B77" s="108" t="s">
        <v>1335</v>
      </c>
      <c r="C77" s="117" t="s">
        <v>1400</v>
      </c>
      <c r="D77" s="117"/>
      <c r="E77" s="117"/>
      <c r="F77" s="213">
        <v>111314</v>
      </c>
      <c r="G77" s="154">
        <v>44562</v>
      </c>
      <c r="H77" s="154">
        <v>44926</v>
      </c>
      <c r="I77" s="154"/>
      <c r="J77" s="154"/>
      <c r="K77" s="154"/>
      <c r="L77" s="154"/>
      <c r="N77" s="186"/>
    </row>
    <row r="78" spans="1:14" ht="13.15" customHeight="1">
      <c r="A78" s="1">
        <f t="shared" si="2"/>
        <v>61</v>
      </c>
      <c r="B78" s="108" t="s">
        <v>1547</v>
      </c>
      <c r="C78" s="117" t="s">
        <v>1401</v>
      </c>
      <c r="D78" s="117"/>
      <c r="E78" s="117"/>
      <c r="F78" s="213">
        <v>110128</v>
      </c>
      <c r="G78" s="154">
        <v>44317</v>
      </c>
      <c r="H78" s="154">
        <v>44620</v>
      </c>
      <c r="I78" s="154"/>
      <c r="J78" s="154"/>
      <c r="K78" s="154"/>
      <c r="L78" s="154"/>
      <c r="N78" s="186"/>
    </row>
    <row r="79" spans="1:14" ht="13.15" customHeight="1">
      <c r="A79" s="1">
        <f t="shared" si="2"/>
        <v>62</v>
      </c>
      <c r="B79" s="108" t="s">
        <v>1548</v>
      </c>
      <c r="C79" s="117" t="s">
        <v>1402</v>
      </c>
      <c r="D79" s="117"/>
      <c r="E79" s="117"/>
      <c r="F79" s="213">
        <v>110107</v>
      </c>
      <c r="G79" s="154">
        <v>44562</v>
      </c>
      <c r="H79" s="154">
        <v>44926</v>
      </c>
      <c r="I79" s="154"/>
      <c r="J79" s="154"/>
      <c r="K79" s="154"/>
      <c r="L79" s="154"/>
      <c r="N79" s="186"/>
    </row>
    <row r="80" spans="1:14" ht="13.15" customHeight="1">
      <c r="A80" s="1">
        <f t="shared" si="2"/>
        <v>63</v>
      </c>
      <c r="B80" s="108" t="s">
        <v>1336</v>
      </c>
      <c r="C80" s="117" t="s">
        <v>1403</v>
      </c>
      <c r="D80" s="117"/>
      <c r="E80" s="117"/>
      <c r="F80" s="213">
        <v>111310</v>
      </c>
      <c r="G80" s="154">
        <v>44562</v>
      </c>
      <c r="H80" s="154">
        <v>44926</v>
      </c>
      <c r="I80" s="154"/>
      <c r="J80" s="154"/>
      <c r="K80" s="154"/>
      <c r="L80" s="154"/>
      <c r="N80" s="186"/>
    </row>
    <row r="81" spans="1:14" ht="13.15" customHeight="1">
      <c r="A81" s="1">
        <f t="shared" si="2"/>
        <v>64</v>
      </c>
      <c r="B81" s="108" t="s">
        <v>1549</v>
      </c>
      <c r="C81" s="117" t="s">
        <v>1404</v>
      </c>
      <c r="D81" s="117"/>
      <c r="E81" s="117"/>
      <c r="F81" s="213">
        <v>110036</v>
      </c>
      <c r="G81" s="154">
        <v>44562</v>
      </c>
      <c r="H81" s="154">
        <v>44926</v>
      </c>
      <c r="I81" s="154"/>
      <c r="J81" s="154"/>
      <c r="K81" s="154"/>
      <c r="L81" s="154"/>
      <c r="N81" s="186"/>
    </row>
    <row r="82" spans="1:14" ht="13.15" customHeight="1">
      <c r="A82" s="1">
        <f t="shared" si="2"/>
        <v>65</v>
      </c>
      <c r="B82" s="108" t="s">
        <v>1337</v>
      </c>
      <c r="C82" s="117" t="s">
        <v>1405</v>
      </c>
      <c r="D82" s="117"/>
      <c r="E82" s="117"/>
      <c r="F82" s="213">
        <v>110132</v>
      </c>
      <c r="G82" s="154">
        <v>44287</v>
      </c>
      <c r="H82" s="154">
        <v>44651</v>
      </c>
      <c r="I82" s="154"/>
      <c r="J82" s="154"/>
      <c r="K82" s="187"/>
      <c r="L82" s="187"/>
      <c r="N82" s="186"/>
    </row>
    <row r="83" spans="1:14" ht="13.15" customHeight="1">
      <c r="A83" s="1">
        <f t="shared" si="2"/>
        <v>66</v>
      </c>
      <c r="B83" s="108" t="s">
        <v>1550</v>
      </c>
      <c r="C83" s="117" t="s">
        <v>1406</v>
      </c>
      <c r="D83" s="117"/>
      <c r="E83" s="117"/>
      <c r="F83" s="213">
        <v>110003</v>
      </c>
      <c r="G83" s="154">
        <v>44562</v>
      </c>
      <c r="H83" s="154">
        <v>44926</v>
      </c>
      <c r="I83" s="154"/>
      <c r="J83" s="154"/>
      <c r="K83" s="187"/>
      <c r="L83" s="187"/>
      <c r="N83" s="186"/>
    </row>
    <row r="84" spans="1:14" ht="13.15" customHeight="1">
      <c r="A84" s="1">
        <f t="shared" si="2"/>
        <v>67</v>
      </c>
      <c r="B84" s="108" t="s">
        <v>1551</v>
      </c>
      <c r="C84" s="117" t="s">
        <v>1407</v>
      </c>
      <c r="D84" s="117"/>
      <c r="E84" s="117"/>
      <c r="F84" s="213">
        <v>111305</v>
      </c>
      <c r="G84" s="154">
        <v>44378</v>
      </c>
      <c r="H84" s="154">
        <v>44742</v>
      </c>
      <c r="I84" s="154"/>
      <c r="J84" s="154"/>
      <c r="K84" s="187"/>
      <c r="L84" s="187"/>
      <c r="N84" s="186"/>
    </row>
    <row r="85" spans="1:14" ht="13.15" customHeight="1">
      <c r="A85" s="1">
        <f t="shared" si="2"/>
        <v>68</v>
      </c>
      <c r="B85" s="108" t="s">
        <v>1552</v>
      </c>
      <c r="C85" s="117" t="s">
        <v>1408</v>
      </c>
      <c r="D85" s="117"/>
      <c r="E85" s="117"/>
      <c r="F85" s="213">
        <v>111331</v>
      </c>
      <c r="G85" s="154">
        <v>44470</v>
      </c>
      <c r="H85" s="154">
        <v>44834</v>
      </c>
      <c r="I85" s="154"/>
      <c r="J85" s="154"/>
      <c r="K85" s="187"/>
      <c r="L85" s="187"/>
      <c r="N85" s="186"/>
    </row>
    <row r="86" spans="1:14" ht="13.15" customHeight="1">
      <c r="A86" s="1">
        <f t="shared" si="2"/>
        <v>69</v>
      </c>
      <c r="B86" s="108" t="s">
        <v>1553</v>
      </c>
      <c r="C86" s="117" t="s">
        <v>1409</v>
      </c>
      <c r="D86" s="117"/>
      <c r="E86" s="117"/>
      <c r="F86" s="213">
        <v>111318</v>
      </c>
      <c r="G86" s="154">
        <v>44470</v>
      </c>
      <c r="H86" s="154">
        <v>44834</v>
      </c>
      <c r="I86" s="154"/>
      <c r="J86" s="154"/>
      <c r="K86" s="187"/>
      <c r="L86" s="187"/>
      <c r="N86" s="186"/>
    </row>
    <row r="87" spans="1:14" ht="13.15" customHeight="1">
      <c r="A87" s="1">
        <f t="shared" si="2"/>
        <v>70</v>
      </c>
      <c r="B87" s="108" t="s">
        <v>1554</v>
      </c>
      <c r="C87" s="117" t="s">
        <v>1410</v>
      </c>
      <c r="D87" s="117"/>
      <c r="E87" s="117"/>
      <c r="F87" s="213">
        <v>111304</v>
      </c>
      <c r="G87" s="154">
        <v>44378</v>
      </c>
      <c r="H87" s="154">
        <v>44742</v>
      </c>
      <c r="I87" s="154"/>
      <c r="J87" s="154"/>
      <c r="K87" s="187"/>
      <c r="L87" s="187"/>
      <c r="N87" s="186"/>
    </row>
    <row r="88" spans="1:14" ht="13.15" customHeight="1">
      <c r="A88" s="1">
        <f t="shared" si="2"/>
        <v>71</v>
      </c>
      <c r="B88" s="108" t="s">
        <v>1555</v>
      </c>
      <c r="C88" s="117" t="s">
        <v>1411</v>
      </c>
      <c r="D88" s="117"/>
      <c r="E88" s="117"/>
      <c r="F88" s="213">
        <v>111336</v>
      </c>
      <c r="G88" s="154">
        <v>44562</v>
      </c>
      <c r="H88" s="154">
        <v>44926</v>
      </c>
      <c r="I88" s="154"/>
      <c r="J88" s="154"/>
      <c r="K88" s="187"/>
      <c r="L88" s="187"/>
      <c r="N88" s="186"/>
    </row>
    <row r="89" spans="1:14" ht="13.15" customHeight="1">
      <c r="A89" s="1">
        <f t="shared" si="2"/>
        <v>72</v>
      </c>
      <c r="B89" s="108" t="s">
        <v>1338</v>
      </c>
      <c r="C89" s="117" t="s">
        <v>1412</v>
      </c>
      <c r="D89" s="117"/>
      <c r="E89" s="117"/>
      <c r="F89" s="213">
        <v>110150</v>
      </c>
      <c r="G89" s="154">
        <v>44562</v>
      </c>
      <c r="H89" s="154">
        <v>44926</v>
      </c>
      <c r="I89" s="154"/>
      <c r="J89" s="154"/>
      <c r="K89" s="187"/>
      <c r="L89" s="187"/>
      <c r="N89" s="186"/>
    </row>
    <row r="90" spans="1:14" ht="13.15" customHeight="1">
      <c r="A90" s="1">
        <f t="shared" si="2"/>
        <v>73</v>
      </c>
      <c r="B90" s="108" t="s">
        <v>1556</v>
      </c>
      <c r="C90" s="117" t="s">
        <v>1413</v>
      </c>
      <c r="D90" s="117"/>
      <c r="E90" s="117"/>
      <c r="F90" s="213">
        <v>110045</v>
      </c>
      <c r="G90" s="154">
        <v>44470</v>
      </c>
      <c r="H90" s="154">
        <v>44834</v>
      </c>
      <c r="I90" s="154"/>
      <c r="J90" s="154"/>
      <c r="K90" s="187"/>
      <c r="L90" s="187"/>
      <c r="N90" s="186"/>
    </row>
    <row r="91" spans="1:14" ht="13.15" customHeight="1">
      <c r="A91" s="1">
        <f t="shared" si="2"/>
        <v>74</v>
      </c>
      <c r="B91" s="108" t="s">
        <v>1557</v>
      </c>
      <c r="C91" s="117" t="s">
        <v>1414</v>
      </c>
      <c r="D91" s="117"/>
      <c r="E91" s="117"/>
      <c r="F91" s="213">
        <v>110237</v>
      </c>
      <c r="G91" s="154">
        <v>44470</v>
      </c>
      <c r="H91" s="154">
        <v>44834</v>
      </c>
      <c r="I91" s="154"/>
      <c r="J91" s="154"/>
      <c r="K91" s="187"/>
      <c r="L91" s="187"/>
      <c r="N91" s="186"/>
    </row>
    <row r="92" spans="1:14" ht="13.15" customHeight="1">
      <c r="A92" s="1">
        <f t="shared" si="2"/>
        <v>75</v>
      </c>
      <c r="B92" s="108" t="s">
        <v>1558</v>
      </c>
      <c r="C92" s="117" t="s">
        <v>1415</v>
      </c>
      <c r="D92" s="117" t="s">
        <v>1487</v>
      </c>
      <c r="E92" s="117"/>
      <c r="F92" s="213">
        <v>110029</v>
      </c>
      <c r="G92" s="154">
        <v>44470</v>
      </c>
      <c r="H92" s="154">
        <v>44834</v>
      </c>
      <c r="I92" s="154"/>
      <c r="J92" s="154"/>
      <c r="K92" s="187"/>
      <c r="L92" s="187"/>
      <c r="N92" s="186"/>
    </row>
    <row r="93" spans="1:14" ht="13.15" customHeight="1">
      <c r="A93" s="1">
        <f t="shared" si="2"/>
        <v>76</v>
      </c>
      <c r="B93" s="108" t="s">
        <v>1559</v>
      </c>
      <c r="C93" s="117" t="s">
        <v>1416</v>
      </c>
      <c r="D93" s="117"/>
      <c r="E93" s="117"/>
      <c r="F93" s="213">
        <v>110161</v>
      </c>
      <c r="G93" s="154">
        <v>44470</v>
      </c>
      <c r="H93" s="154">
        <v>44834</v>
      </c>
      <c r="I93" s="154"/>
      <c r="J93" s="154"/>
      <c r="K93" s="187"/>
      <c r="L93" s="187"/>
      <c r="N93" s="186"/>
    </row>
    <row r="94" spans="1:14" ht="13.15" customHeight="1">
      <c r="A94" s="1">
        <f t="shared" si="2"/>
        <v>77</v>
      </c>
      <c r="B94" s="108" t="s">
        <v>1560</v>
      </c>
      <c r="C94" s="117" t="s">
        <v>1417</v>
      </c>
      <c r="D94" s="117"/>
      <c r="E94" s="117"/>
      <c r="F94" s="213">
        <v>110252</v>
      </c>
      <c r="G94" s="154">
        <v>44470</v>
      </c>
      <c r="H94" s="154">
        <v>44834</v>
      </c>
      <c r="I94" s="154"/>
      <c r="J94" s="154"/>
      <c r="K94" s="187"/>
      <c r="L94" s="187"/>
      <c r="N94" s="186"/>
    </row>
    <row r="95" spans="1:14" ht="13.15" customHeight="1">
      <c r="A95" s="1">
        <f t="shared" si="2"/>
        <v>78</v>
      </c>
      <c r="B95" s="108" t="s">
        <v>1561</v>
      </c>
      <c r="C95" s="117" t="s">
        <v>1418</v>
      </c>
      <c r="D95" s="117"/>
      <c r="E95" s="117"/>
      <c r="F95" s="213">
        <v>110087</v>
      </c>
      <c r="G95" s="154">
        <v>44470</v>
      </c>
      <c r="H95" s="154">
        <v>44834</v>
      </c>
      <c r="I95" s="154"/>
      <c r="J95" s="154"/>
      <c r="K95" s="187"/>
      <c r="L95" s="187"/>
      <c r="N95" s="186"/>
    </row>
    <row r="96" spans="1:14" ht="13.15" customHeight="1">
      <c r="A96" s="1">
        <f t="shared" si="2"/>
        <v>79</v>
      </c>
      <c r="B96" s="108" t="s">
        <v>1562</v>
      </c>
      <c r="C96" s="117" t="s">
        <v>1419</v>
      </c>
      <c r="D96" s="117"/>
      <c r="E96" s="117"/>
      <c r="F96" s="213">
        <v>110008</v>
      </c>
      <c r="G96" s="154">
        <v>44470</v>
      </c>
      <c r="H96" s="154">
        <v>44834</v>
      </c>
      <c r="I96" s="154"/>
      <c r="J96" s="154"/>
      <c r="K96" s="187"/>
      <c r="L96" s="187"/>
      <c r="N96" s="186"/>
    </row>
    <row r="97" spans="1:14" ht="13.15" customHeight="1">
      <c r="A97" s="1">
        <f t="shared" si="2"/>
        <v>80</v>
      </c>
      <c r="B97" s="108" t="s">
        <v>1563</v>
      </c>
      <c r="C97" s="117" t="s">
        <v>1420</v>
      </c>
      <c r="D97" s="117"/>
      <c r="E97" s="117"/>
      <c r="F97" s="213">
        <v>110005</v>
      </c>
      <c r="G97" s="154">
        <v>44470</v>
      </c>
      <c r="H97" s="154">
        <v>44834</v>
      </c>
      <c r="I97" s="154"/>
      <c r="J97" s="154"/>
      <c r="K97" s="187"/>
      <c r="L97" s="187"/>
      <c r="N97" s="186"/>
    </row>
    <row r="98" spans="1:14" ht="13.15" customHeight="1">
      <c r="A98" s="1">
        <f t="shared" si="2"/>
        <v>81</v>
      </c>
      <c r="B98" s="108" t="s">
        <v>1564</v>
      </c>
      <c r="C98" s="117" t="s">
        <v>1421</v>
      </c>
      <c r="D98" s="117"/>
      <c r="E98" s="117"/>
      <c r="F98" s="213">
        <v>111312</v>
      </c>
      <c r="G98" s="154">
        <v>44562</v>
      </c>
      <c r="H98" s="154">
        <v>44926</v>
      </c>
      <c r="I98" s="154"/>
      <c r="J98" s="154"/>
      <c r="K98" s="187"/>
      <c r="L98" s="187"/>
      <c r="N98" s="186"/>
    </row>
    <row r="99" spans="1:14" ht="13.15" customHeight="1">
      <c r="A99" s="1">
        <f t="shared" si="2"/>
        <v>82</v>
      </c>
      <c r="B99" s="108" t="s">
        <v>1565</v>
      </c>
      <c r="C99" s="117" t="s">
        <v>1422</v>
      </c>
      <c r="D99" s="117"/>
      <c r="E99" s="117"/>
      <c r="F99" s="213">
        <v>111323</v>
      </c>
      <c r="G99" s="154">
        <v>44562</v>
      </c>
      <c r="H99" s="154">
        <v>44926</v>
      </c>
      <c r="I99" s="154"/>
      <c r="J99" s="154"/>
      <c r="K99" s="187"/>
      <c r="L99" s="187"/>
      <c r="N99" s="186"/>
    </row>
    <row r="100" spans="1:14" ht="13.15" customHeight="1">
      <c r="A100" s="1">
        <f t="shared" si="2"/>
        <v>83</v>
      </c>
      <c r="B100" s="108" t="s">
        <v>1566</v>
      </c>
      <c r="C100" s="117" t="s">
        <v>1423</v>
      </c>
      <c r="D100" s="117"/>
      <c r="E100" s="117"/>
      <c r="F100" s="213">
        <v>110153</v>
      </c>
      <c r="G100" s="154">
        <v>44562</v>
      </c>
      <c r="H100" s="154">
        <v>44926</v>
      </c>
      <c r="I100" s="154"/>
      <c r="J100" s="154"/>
      <c r="K100" s="187"/>
      <c r="L100" s="187"/>
      <c r="N100" s="186"/>
    </row>
    <row r="101" spans="1:14" ht="13.15" customHeight="1">
      <c r="A101" s="1">
        <f t="shared" si="2"/>
        <v>84</v>
      </c>
      <c r="B101" s="108" t="s">
        <v>1567</v>
      </c>
      <c r="C101" s="117" t="s">
        <v>1424</v>
      </c>
      <c r="D101" s="117" t="s">
        <v>1488</v>
      </c>
      <c r="E101" s="117"/>
      <c r="F101" s="213">
        <v>110007</v>
      </c>
      <c r="G101" s="154">
        <v>44409</v>
      </c>
      <c r="H101" s="154">
        <v>44773</v>
      </c>
      <c r="I101" s="154"/>
      <c r="J101" s="154"/>
      <c r="K101" s="187"/>
      <c r="L101" s="187"/>
      <c r="N101" s="186"/>
    </row>
    <row r="102" spans="1:14" ht="13.15" customHeight="1">
      <c r="A102" s="1">
        <f t="shared" si="2"/>
        <v>85</v>
      </c>
      <c r="B102" s="108" t="s">
        <v>1568</v>
      </c>
      <c r="C102" s="117" t="s">
        <v>1425</v>
      </c>
      <c r="D102" s="117"/>
      <c r="E102" s="117"/>
      <c r="F102" s="213">
        <v>110044</v>
      </c>
      <c r="G102" s="154">
        <v>44409</v>
      </c>
      <c r="H102" s="154">
        <v>44773</v>
      </c>
      <c r="I102" s="154"/>
      <c r="J102" s="154"/>
      <c r="K102" s="187"/>
      <c r="L102" s="187"/>
      <c r="N102" s="186"/>
    </row>
    <row r="103" spans="1:14" ht="13.15" customHeight="1">
      <c r="A103" s="1">
        <f t="shared" si="2"/>
        <v>86</v>
      </c>
      <c r="B103" s="108" t="s">
        <v>1569</v>
      </c>
      <c r="C103" s="117" t="s">
        <v>1426</v>
      </c>
      <c r="D103" s="117"/>
      <c r="E103" s="117"/>
      <c r="F103" s="213">
        <v>111328</v>
      </c>
      <c r="G103" s="154">
        <v>44409</v>
      </c>
      <c r="H103" s="154">
        <v>44773</v>
      </c>
      <c r="I103" s="154"/>
      <c r="J103" s="154"/>
      <c r="K103" s="187"/>
      <c r="L103" s="187"/>
      <c r="N103" s="186"/>
    </row>
    <row r="104" spans="1:14" ht="13.15" customHeight="1">
      <c r="A104" s="1">
        <f t="shared" si="2"/>
        <v>87</v>
      </c>
      <c r="B104" s="108" t="s">
        <v>1570</v>
      </c>
      <c r="C104" s="117" t="s">
        <v>1427</v>
      </c>
      <c r="D104" s="117"/>
      <c r="E104" s="117"/>
      <c r="F104" s="213">
        <v>110074</v>
      </c>
      <c r="G104" s="154">
        <v>44378</v>
      </c>
      <c r="H104" s="154">
        <v>44742</v>
      </c>
      <c r="I104" s="154"/>
      <c r="J104" s="154"/>
      <c r="K104" s="187"/>
      <c r="L104" s="187"/>
      <c r="N104" s="186"/>
    </row>
    <row r="105" spans="1:14" ht="13.15" customHeight="1">
      <c r="A105" s="1">
        <f t="shared" si="2"/>
        <v>88</v>
      </c>
      <c r="B105" s="108" t="s">
        <v>1571</v>
      </c>
      <c r="C105" s="117" t="s">
        <v>1428</v>
      </c>
      <c r="D105" s="117" t="s">
        <v>1489</v>
      </c>
      <c r="E105" s="117"/>
      <c r="F105" s="213">
        <v>110064</v>
      </c>
      <c r="G105" s="154">
        <v>44378</v>
      </c>
      <c r="H105" s="154">
        <v>44742</v>
      </c>
      <c r="I105" s="154"/>
      <c r="J105" s="154"/>
      <c r="K105" s="187"/>
      <c r="L105" s="187"/>
      <c r="N105" s="186"/>
    </row>
    <row r="106" spans="1:14" ht="13.15" customHeight="1">
      <c r="A106" s="1">
        <f t="shared" ref="A106:A169" si="3">A105+1</f>
        <v>89</v>
      </c>
      <c r="B106" s="108" t="s">
        <v>1339</v>
      </c>
      <c r="C106" s="117" t="s">
        <v>1429</v>
      </c>
      <c r="D106" s="117"/>
      <c r="E106" s="117"/>
      <c r="F106" s="213">
        <v>110200</v>
      </c>
      <c r="G106" s="154">
        <v>44378</v>
      </c>
      <c r="H106" s="154">
        <v>44742</v>
      </c>
      <c r="I106" s="154"/>
      <c r="J106" s="154"/>
      <c r="K106" s="187"/>
      <c r="L106" s="187"/>
      <c r="N106" s="186"/>
    </row>
    <row r="107" spans="1:14" ht="13.15" customHeight="1">
      <c r="A107" s="1">
        <f t="shared" si="3"/>
        <v>90</v>
      </c>
      <c r="B107" s="108" t="s">
        <v>1572</v>
      </c>
      <c r="C107" s="117" t="s">
        <v>1430</v>
      </c>
      <c r="D107" s="117"/>
      <c r="E107" s="117"/>
      <c r="F107" s="213">
        <v>110215</v>
      </c>
      <c r="G107" s="154">
        <v>44378</v>
      </c>
      <c r="H107" s="154">
        <v>44742</v>
      </c>
      <c r="I107" s="154"/>
      <c r="J107" s="154"/>
      <c r="K107" s="187"/>
      <c r="L107" s="187"/>
      <c r="N107" s="186"/>
    </row>
    <row r="108" spans="1:14" ht="13.15" customHeight="1">
      <c r="A108" s="1">
        <f t="shared" si="3"/>
        <v>91</v>
      </c>
      <c r="B108" s="108" t="s">
        <v>1573</v>
      </c>
      <c r="C108" s="117" t="s">
        <v>1431</v>
      </c>
      <c r="D108" s="117"/>
      <c r="E108" s="117"/>
      <c r="F108" s="213">
        <v>110191</v>
      </c>
      <c r="G108" s="154">
        <v>44378</v>
      </c>
      <c r="H108" s="154">
        <v>44742</v>
      </c>
      <c r="I108" s="154"/>
      <c r="J108" s="154"/>
      <c r="K108" s="187"/>
      <c r="L108" s="187"/>
      <c r="N108" s="186"/>
    </row>
    <row r="109" spans="1:14" ht="13.15" customHeight="1">
      <c r="A109" s="1">
        <f t="shared" si="3"/>
        <v>92</v>
      </c>
      <c r="B109" s="108" t="s">
        <v>1574</v>
      </c>
      <c r="C109" s="117" t="s">
        <v>1432</v>
      </c>
      <c r="D109" s="117"/>
      <c r="E109" s="117"/>
      <c r="F109" s="213">
        <v>110083</v>
      </c>
      <c r="G109" s="154">
        <v>44378</v>
      </c>
      <c r="H109" s="154">
        <v>44742</v>
      </c>
      <c r="I109" s="154"/>
      <c r="J109" s="154"/>
      <c r="K109" s="187"/>
      <c r="L109" s="187"/>
      <c r="N109" s="186"/>
    </row>
    <row r="110" spans="1:14" ht="13.15" customHeight="1">
      <c r="A110" s="1">
        <f t="shared" si="3"/>
        <v>93</v>
      </c>
      <c r="B110" s="108" t="s">
        <v>1575</v>
      </c>
      <c r="C110" s="117" t="s">
        <v>1433</v>
      </c>
      <c r="D110" s="117"/>
      <c r="E110" s="117"/>
      <c r="F110" s="213">
        <v>110225</v>
      </c>
      <c r="G110" s="154">
        <v>44378</v>
      </c>
      <c r="H110" s="154">
        <v>44742</v>
      </c>
      <c r="I110" s="154"/>
      <c r="J110" s="154"/>
      <c r="K110" s="187"/>
      <c r="L110" s="187"/>
      <c r="N110" s="186"/>
    </row>
    <row r="111" spans="1:14" ht="13.15" customHeight="1">
      <c r="A111" s="1">
        <f t="shared" si="3"/>
        <v>94</v>
      </c>
      <c r="B111" s="108" t="s">
        <v>1576</v>
      </c>
      <c r="C111" s="117" t="s">
        <v>1434</v>
      </c>
      <c r="D111" s="117"/>
      <c r="E111" s="117"/>
      <c r="F111" s="213">
        <v>110229</v>
      </c>
      <c r="G111" s="154">
        <v>44378</v>
      </c>
      <c r="H111" s="154">
        <v>44742</v>
      </c>
      <c r="I111" s="154"/>
      <c r="J111" s="154"/>
      <c r="K111" s="187"/>
      <c r="L111" s="187"/>
      <c r="N111" s="186"/>
    </row>
    <row r="112" spans="1:14" ht="13.15" customHeight="1">
      <c r="A112" s="1">
        <f t="shared" si="3"/>
        <v>95</v>
      </c>
      <c r="B112" s="108" t="s">
        <v>1577</v>
      </c>
      <c r="C112" s="117" t="s">
        <v>1435</v>
      </c>
      <c r="D112" s="117"/>
      <c r="E112" s="117"/>
      <c r="F112" s="213">
        <v>110018</v>
      </c>
      <c r="G112" s="154">
        <v>44378</v>
      </c>
      <c r="H112" s="154">
        <v>44742</v>
      </c>
      <c r="I112" s="154"/>
      <c r="J112" s="154"/>
      <c r="K112" s="187"/>
      <c r="L112" s="187"/>
      <c r="N112" s="186"/>
    </row>
    <row r="113" spans="1:14" ht="13.15" customHeight="1">
      <c r="A113" s="1">
        <f t="shared" si="3"/>
        <v>96</v>
      </c>
      <c r="B113" s="108" t="s">
        <v>1578</v>
      </c>
      <c r="C113" s="117" t="s">
        <v>1436</v>
      </c>
      <c r="D113" s="117"/>
      <c r="E113" s="117"/>
      <c r="F113" s="213">
        <v>110091</v>
      </c>
      <c r="G113" s="154">
        <v>44378</v>
      </c>
      <c r="H113" s="154">
        <v>44742</v>
      </c>
      <c r="I113" s="154"/>
      <c r="J113" s="154"/>
      <c r="K113" s="187"/>
      <c r="L113" s="187"/>
      <c r="N113" s="186"/>
    </row>
    <row r="114" spans="1:14" ht="13.15" customHeight="1">
      <c r="A114" s="1">
        <f t="shared" si="3"/>
        <v>97</v>
      </c>
      <c r="B114" s="108" t="s">
        <v>1579</v>
      </c>
      <c r="C114" s="117" t="s">
        <v>1437</v>
      </c>
      <c r="D114" s="117"/>
      <c r="E114" s="117"/>
      <c r="F114" s="213">
        <v>110046</v>
      </c>
      <c r="G114" s="154">
        <v>44378</v>
      </c>
      <c r="H114" s="154">
        <v>44742</v>
      </c>
      <c r="I114" s="154"/>
      <c r="J114" s="154"/>
      <c r="K114" s="187"/>
      <c r="L114" s="187"/>
      <c r="N114" s="186"/>
    </row>
    <row r="115" spans="1:14" ht="13.15" customHeight="1">
      <c r="A115" s="1">
        <f t="shared" si="3"/>
        <v>98</v>
      </c>
      <c r="B115" s="108" t="s">
        <v>1580</v>
      </c>
      <c r="C115" s="117" t="s">
        <v>1438</v>
      </c>
      <c r="D115" s="117"/>
      <c r="E115" s="117"/>
      <c r="F115" s="213">
        <v>111330</v>
      </c>
      <c r="G115" s="154">
        <v>44562</v>
      </c>
      <c r="H115" s="154">
        <v>44926</v>
      </c>
      <c r="I115" s="154"/>
      <c r="J115" s="154"/>
      <c r="K115" s="187"/>
      <c r="L115" s="187"/>
      <c r="N115" s="186"/>
    </row>
    <row r="116" spans="1:14" ht="13.15" customHeight="1">
      <c r="A116" s="1">
        <f t="shared" si="3"/>
        <v>99</v>
      </c>
      <c r="B116" s="108" t="s">
        <v>1581</v>
      </c>
      <c r="C116" s="117" t="s">
        <v>1439</v>
      </c>
      <c r="D116" s="117"/>
      <c r="E116" s="117"/>
      <c r="F116" s="213">
        <v>111313</v>
      </c>
      <c r="G116" s="154">
        <v>44470</v>
      </c>
      <c r="H116" s="154">
        <v>44834</v>
      </c>
      <c r="I116" s="154"/>
      <c r="J116" s="154"/>
      <c r="K116" s="187"/>
      <c r="L116" s="187"/>
      <c r="N116" s="186"/>
    </row>
    <row r="117" spans="1:14" ht="13.15" customHeight="1">
      <c r="A117" s="1">
        <f t="shared" si="3"/>
        <v>100</v>
      </c>
      <c r="B117" s="108" t="s">
        <v>1340</v>
      </c>
      <c r="C117" s="117" t="s">
        <v>1440</v>
      </c>
      <c r="D117" s="117"/>
      <c r="E117" s="117"/>
      <c r="F117" s="213">
        <v>110168</v>
      </c>
      <c r="G117" s="154">
        <v>44378</v>
      </c>
      <c r="H117" s="154">
        <v>44742</v>
      </c>
      <c r="I117" s="154"/>
      <c r="J117" s="154"/>
      <c r="K117" s="187"/>
      <c r="L117" s="187"/>
      <c r="N117" s="186"/>
    </row>
    <row r="118" spans="1:14" ht="13.15" customHeight="1">
      <c r="A118" s="1">
        <f t="shared" si="3"/>
        <v>101</v>
      </c>
      <c r="B118" s="108" t="s">
        <v>1582</v>
      </c>
      <c r="C118" s="117" t="s">
        <v>1441</v>
      </c>
      <c r="D118" s="117"/>
      <c r="E118" s="117"/>
      <c r="F118" s="213">
        <v>112016</v>
      </c>
      <c r="G118" s="154">
        <v>44501</v>
      </c>
      <c r="H118" s="154">
        <v>44865</v>
      </c>
      <c r="I118" s="154"/>
      <c r="J118" s="154"/>
      <c r="K118" s="187"/>
      <c r="L118" s="187"/>
      <c r="N118" s="186"/>
    </row>
    <row r="119" spans="1:14" ht="13.15" customHeight="1">
      <c r="A119" s="1">
        <f t="shared" si="3"/>
        <v>102</v>
      </c>
      <c r="B119" s="108" t="s">
        <v>1583</v>
      </c>
      <c r="C119" s="117" t="s">
        <v>1442</v>
      </c>
      <c r="D119" s="117"/>
      <c r="E119" s="117"/>
      <c r="F119" s="213">
        <v>113029</v>
      </c>
      <c r="G119" s="154">
        <v>44562</v>
      </c>
      <c r="H119" s="154">
        <v>44926</v>
      </c>
      <c r="I119" s="154"/>
      <c r="J119" s="154"/>
      <c r="K119" s="187"/>
      <c r="L119" s="187"/>
      <c r="N119" s="186"/>
    </row>
    <row r="120" spans="1:14" ht="13.15" customHeight="1">
      <c r="A120" s="1">
        <f t="shared" si="3"/>
        <v>103</v>
      </c>
      <c r="B120" s="108" t="s">
        <v>1584</v>
      </c>
      <c r="C120" s="117" t="s">
        <v>1443</v>
      </c>
      <c r="D120" s="117"/>
      <c r="E120" s="117"/>
      <c r="F120" s="213">
        <v>112000</v>
      </c>
      <c r="G120" s="154">
        <v>44562</v>
      </c>
      <c r="H120" s="154">
        <v>44926</v>
      </c>
      <c r="I120" s="154"/>
      <c r="J120" s="154"/>
      <c r="K120" s="187"/>
      <c r="L120" s="187"/>
      <c r="N120" s="186"/>
    </row>
    <row r="121" spans="1:14" ht="13.15" customHeight="1">
      <c r="A121" s="1">
        <f t="shared" si="3"/>
        <v>104</v>
      </c>
      <c r="B121" s="108" t="s">
        <v>1585</v>
      </c>
      <c r="C121" s="117" t="s">
        <v>1444</v>
      </c>
      <c r="D121" s="117"/>
      <c r="E121" s="117"/>
      <c r="F121" s="213">
        <v>113028</v>
      </c>
      <c r="G121" s="154">
        <v>44378</v>
      </c>
      <c r="H121" s="154">
        <v>44742</v>
      </c>
      <c r="I121" s="154"/>
      <c r="J121" s="154"/>
      <c r="K121" s="187"/>
      <c r="L121" s="187"/>
      <c r="N121" s="186"/>
    </row>
    <row r="122" spans="1:14" ht="13.15" customHeight="1">
      <c r="A122" s="1">
        <f t="shared" si="3"/>
        <v>105</v>
      </c>
      <c r="B122" s="108" t="s">
        <v>1586</v>
      </c>
      <c r="C122" s="117" t="s">
        <v>1445</v>
      </c>
      <c r="D122" s="117"/>
      <c r="E122" s="117"/>
      <c r="F122" s="213">
        <v>110129</v>
      </c>
      <c r="G122" s="154">
        <v>44562</v>
      </c>
      <c r="H122" s="154">
        <v>44926</v>
      </c>
      <c r="I122" s="154"/>
      <c r="J122" s="154"/>
      <c r="K122" s="187"/>
      <c r="L122" s="187"/>
      <c r="N122" s="186"/>
    </row>
    <row r="123" spans="1:14" ht="13.15" customHeight="1">
      <c r="A123" s="1">
        <f t="shared" si="3"/>
        <v>106</v>
      </c>
      <c r="B123" s="108" t="s">
        <v>1587</v>
      </c>
      <c r="C123" s="117" t="s">
        <v>1446</v>
      </c>
      <c r="D123" s="117"/>
      <c r="E123" s="117"/>
      <c r="F123" s="213">
        <v>110006</v>
      </c>
      <c r="G123" s="154">
        <v>44378</v>
      </c>
      <c r="H123" s="154">
        <v>44742</v>
      </c>
      <c r="I123" s="154"/>
      <c r="J123" s="154"/>
      <c r="K123" s="187"/>
      <c r="L123" s="187"/>
      <c r="N123" s="186"/>
    </row>
    <row r="124" spans="1:14" ht="13.15" customHeight="1">
      <c r="A124" s="1">
        <f t="shared" si="3"/>
        <v>107</v>
      </c>
      <c r="B124" s="108" t="s">
        <v>1588</v>
      </c>
      <c r="C124" s="117" t="s">
        <v>1447</v>
      </c>
      <c r="D124" s="117"/>
      <c r="E124" s="117"/>
      <c r="F124" s="213">
        <v>112013</v>
      </c>
      <c r="G124" s="154">
        <v>44287</v>
      </c>
      <c r="H124" s="154">
        <v>44651</v>
      </c>
      <c r="I124" s="154"/>
      <c r="J124" s="154"/>
      <c r="K124" s="187"/>
      <c r="L124" s="187"/>
      <c r="N124" s="186"/>
    </row>
    <row r="125" spans="1:14" ht="13.15" customHeight="1">
      <c r="A125" s="1">
        <f t="shared" si="3"/>
        <v>108</v>
      </c>
      <c r="B125" s="108" t="s">
        <v>1589</v>
      </c>
      <c r="C125" s="117" t="s">
        <v>1448</v>
      </c>
      <c r="D125" s="117"/>
      <c r="E125" s="117"/>
      <c r="F125" s="213">
        <v>112004</v>
      </c>
      <c r="G125" s="154">
        <v>44440</v>
      </c>
      <c r="H125" s="154">
        <v>44804</v>
      </c>
      <c r="I125" s="154"/>
      <c r="J125" s="154"/>
      <c r="K125" s="187"/>
      <c r="L125" s="187"/>
      <c r="N125" s="186"/>
    </row>
    <row r="126" spans="1:14" ht="13.15" customHeight="1">
      <c r="A126" s="1">
        <f t="shared" si="3"/>
        <v>109</v>
      </c>
      <c r="B126" s="108" t="s">
        <v>1590</v>
      </c>
      <c r="C126" s="117" t="s">
        <v>1449</v>
      </c>
      <c r="D126" s="117"/>
      <c r="E126" s="117"/>
      <c r="F126" s="213">
        <v>112011</v>
      </c>
      <c r="G126" s="154">
        <v>44317</v>
      </c>
      <c r="H126" s="154">
        <v>44681</v>
      </c>
      <c r="I126" s="154"/>
      <c r="J126" s="154"/>
      <c r="K126" s="187"/>
      <c r="L126" s="187"/>
      <c r="N126" s="186"/>
    </row>
    <row r="127" spans="1:14" ht="13.15" customHeight="1">
      <c r="A127" s="1">
        <f t="shared" si="3"/>
        <v>110</v>
      </c>
      <c r="B127" s="108" t="s">
        <v>1591</v>
      </c>
      <c r="C127" s="117" t="s">
        <v>1450</v>
      </c>
      <c r="D127" s="117"/>
      <c r="E127" s="117"/>
      <c r="F127" s="213">
        <v>112003</v>
      </c>
      <c r="G127" s="154">
        <v>44287</v>
      </c>
      <c r="H127" s="154">
        <v>44651</v>
      </c>
      <c r="I127" s="154"/>
      <c r="J127" s="154"/>
      <c r="K127" s="187"/>
      <c r="L127" s="187"/>
      <c r="N127" s="186"/>
    </row>
    <row r="128" spans="1:14" ht="13.15" customHeight="1">
      <c r="A128" s="1">
        <f t="shared" si="3"/>
        <v>111</v>
      </c>
      <c r="B128" s="108" t="s">
        <v>1592</v>
      </c>
      <c r="C128" s="117" t="s">
        <v>1451</v>
      </c>
      <c r="D128" s="117"/>
      <c r="E128" s="117"/>
      <c r="F128" s="213">
        <v>110234</v>
      </c>
      <c r="G128" s="154">
        <v>44470</v>
      </c>
      <c r="H128" s="154">
        <v>44834</v>
      </c>
      <c r="I128" s="154"/>
      <c r="J128" s="154"/>
      <c r="K128" s="187"/>
      <c r="L128" s="187"/>
      <c r="N128" s="186"/>
    </row>
    <row r="129" spans="1:14" ht="13.15" customHeight="1">
      <c r="A129" s="1">
        <f t="shared" si="3"/>
        <v>112</v>
      </c>
      <c r="B129" s="108" t="s">
        <v>1593</v>
      </c>
      <c r="C129" s="117" t="s">
        <v>1452</v>
      </c>
      <c r="D129" s="117"/>
      <c r="E129" s="117"/>
      <c r="F129" s="213">
        <v>111326</v>
      </c>
      <c r="G129" s="154">
        <v>44470</v>
      </c>
      <c r="H129" s="154">
        <v>44834</v>
      </c>
      <c r="I129" s="154"/>
      <c r="J129" s="154"/>
      <c r="K129" s="187"/>
      <c r="L129" s="187"/>
      <c r="N129" s="186"/>
    </row>
    <row r="130" spans="1:14" ht="13.15" customHeight="1">
      <c r="A130" s="1">
        <f t="shared" si="3"/>
        <v>113</v>
      </c>
      <c r="B130" s="108" t="s">
        <v>1594</v>
      </c>
      <c r="C130" s="117" t="s">
        <v>1453</v>
      </c>
      <c r="D130" s="117" t="s">
        <v>1490</v>
      </c>
      <c r="E130" s="117"/>
      <c r="F130" s="213">
        <v>110122</v>
      </c>
      <c r="G130" s="154">
        <v>44470</v>
      </c>
      <c r="H130" s="154">
        <v>44834</v>
      </c>
      <c r="I130" s="154"/>
      <c r="J130" s="154"/>
      <c r="K130" s="187"/>
      <c r="L130" s="187"/>
      <c r="N130" s="186"/>
    </row>
    <row r="131" spans="1:14" ht="13.15" customHeight="1">
      <c r="A131" s="1">
        <f t="shared" si="3"/>
        <v>114</v>
      </c>
      <c r="B131" s="108" t="s">
        <v>1595</v>
      </c>
      <c r="C131" s="117" t="s">
        <v>1454</v>
      </c>
      <c r="D131" s="117"/>
      <c r="E131" s="117"/>
      <c r="F131" s="213">
        <v>110146</v>
      </c>
      <c r="G131" s="154">
        <v>44317</v>
      </c>
      <c r="H131" s="154">
        <v>44681</v>
      </c>
      <c r="I131" s="154"/>
      <c r="J131" s="154"/>
      <c r="K131" s="187"/>
      <c r="L131" s="187"/>
      <c r="N131" s="186"/>
    </row>
    <row r="132" spans="1:14" ht="13.15" customHeight="1">
      <c r="A132" s="1">
        <f t="shared" si="3"/>
        <v>115</v>
      </c>
      <c r="B132" s="108" t="s">
        <v>1596</v>
      </c>
      <c r="C132" s="117" t="s">
        <v>1455</v>
      </c>
      <c r="D132" s="117"/>
      <c r="E132" s="117"/>
      <c r="F132" s="213">
        <v>110025</v>
      </c>
      <c r="G132" s="154">
        <v>44317</v>
      </c>
      <c r="H132" s="154">
        <v>44681</v>
      </c>
      <c r="I132" s="154"/>
      <c r="J132" s="154"/>
      <c r="K132" s="187"/>
      <c r="L132" s="187"/>
      <c r="N132" s="186"/>
    </row>
    <row r="133" spans="1:14" ht="13.15" customHeight="1">
      <c r="A133" s="1">
        <f t="shared" si="3"/>
        <v>116</v>
      </c>
      <c r="B133" s="108" t="s">
        <v>1597</v>
      </c>
      <c r="C133" s="117" t="s">
        <v>1456</v>
      </c>
      <c r="D133" s="117"/>
      <c r="E133" s="117"/>
      <c r="F133" s="213">
        <v>110233</v>
      </c>
      <c r="G133" s="154">
        <v>44378</v>
      </c>
      <c r="H133" s="154">
        <v>44834</v>
      </c>
      <c r="I133" s="154"/>
      <c r="J133" s="154"/>
      <c r="K133" s="187"/>
      <c r="L133" s="187"/>
      <c r="N133" s="186"/>
    </row>
    <row r="134" spans="1:14" ht="13.15" customHeight="1">
      <c r="A134" s="1">
        <f t="shared" si="3"/>
        <v>117</v>
      </c>
      <c r="B134" s="108" t="s">
        <v>1598</v>
      </c>
      <c r="C134" s="117" t="s">
        <v>1457</v>
      </c>
      <c r="D134" s="117"/>
      <c r="E134" s="117"/>
      <c r="F134" s="213">
        <v>110165</v>
      </c>
      <c r="G134" s="154">
        <v>44562</v>
      </c>
      <c r="H134" s="154">
        <v>44926</v>
      </c>
      <c r="I134" s="154"/>
      <c r="J134" s="154"/>
      <c r="K134" s="187"/>
      <c r="L134" s="187"/>
      <c r="N134" s="186"/>
    </row>
    <row r="135" spans="1:14" ht="13.15" customHeight="1">
      <c r="A135" s="1">
        <f t="shared" si="3"/>
        <v>118</v>
      </c>
      <c r="B135" s="108" t="s">
        <v>1599</v>
      </c>
      <c r="C135" s="117" t="s">
        <v>1458</v>
      </c>
      <c r="D135" s="117"/>
      <c r="E135" s="117"/>
      <c r="F135" s="213">
        <v>110101</v>
      </c>
      <c r="G135" s="154">
        <v>44378</v>
      </c>
      <c r="H135" s="154">
        <v>44742</v>
      </c>
      <c r="I135" s="154"/>
      <c r="J135" s="154"/>
      <c r="K135" s="187"/>
      <c r="L135" s="187"/>
      <c r="N135" s="186"/>
    </row>
    <row r="136" spans="1:14" ht="13.15" customHeight="1">
      <c r="A136" s="1">
        <f t="shared" si="3"/>
        <v>119</v>
      </c>
      <c r="B136" s="108" t="s">
        <v>1600</v>
      </c>
      <c r="C136" s="117" t="s">
        <v>1459</v>
      </c>
      <c r="D136" s="117"/>
      <c r="E136" s="117"/>
      <c r="F136" s="213">
        <v>110043</v>
      </c>
      <c r="G136" s="154">
        <v>44378</v>
      </c>
      <c r="H136" s="154">
        <v>44742</v>
      </c>
      <c r="I136" s="154"/>
      <c r="J136" s="154"/>
      <c r="K136" s="187"/>
      <c r="L136" s="187"/>
      <c r="N136" s="186"/>
    </row>
    <row r="137" spans="1:14" ht="13.15" customHeight="1">
      <c r="A137" s="1">
        <f t="shared" si="3"/>
        <v>120</v>
      </c>
      <c r="B137" s="108" t="s">
        <v>1601</v>
      </c>
      <c r="C137" s="117" t="s">
        <v>1460</v>
      </c>
      <c r="D137" s="117"/>
      <c r="E137" s="117"/>
      <c r="F137" s="213">
        <v>110082</v>
      </c>
      <c r="G137" s="154">
        <v>44440</v>
      </c>
      <c r="H137" s="154">
        <v>44804</v>
      </c>
      <c r="I137" s="154"/>
      <c r="J137" s="154"/>
      <c r="K137" s="187"/>
      <c r="L137" s="187"/>
      <c r="N137" s="186"/>
    </row>
    <row r="138" spans="1:14" ht="13.15" customHeight="1">
      <c r="A138" s="1">
        <f t="shared" si="3"/>
        <v>121</v>
      </c>
      <c r="B138" s="108" t="s">
        <v>1602</v>
      </c>
      <c r="C138" s="117" t="s">
        <v>1461</v>
      </c>
      <c r="D138" s="117"/>
      <c r="E138" s="117"/>
      <c r="F138" s="213">
        <v>111329</v>
      </c>
      <c r="G138" s="154">
        <v>44378</v>
      </c>
      <c r="H138" s="154">
        <v>44742</v>
      </c>
      <c r="I138" s="154"/>
      <c r="J138" s="154"/>
      <c r="K138" s="187"/>
      <c r="L138" s="187"/>
      <c r="N138" s="186"/>
    </row>
    <row r="139" spans="1:14" ht="13.15" customHeight="1">
      <c r="A139" s="1">
        <f t="shared" si="3"/>
        <v>122</v>
      </c>
      <c r="B139" s="108" t="s">
        <v>1603</v>
      </c>
      <c r="C139" s="117" t="s">
        <v>1462</v>
      </c>
      <c r="D139" s="117"/>
      <c r="E139" s="117"/>
      <c r="F139" s="213">
        <v>110027</v>
      </c>
      <c r="G139" s="154">
        <v>44378</v>
      </c>
      <c r="H139" s="154">
        <v>44742</v>
      </c>
      <c r="I139" s="154"/>
      <c r="J139" s="154"/>
      <c r="K139" s="187"/>
      <c r="L139" s="187"/>
      <c r="N139" s="186"/>
    </row>
    <row r="140" spans="1:14" ht="13.15" customHeight="1">
      <c r="A140" s="1">
        <f t="shared" si="3"/>
        <v>123</v>
      </c>
      <c r="B140" s="108" t="s">
        <v>1604</v>
      </c>
      <c r="C140" s="117" t="s">
        <v>1463</v>
      </c>
      <c r="D140" s="117"/>
      <c r="E140" s="117"/>
      <c r="F140" s="213">
        <v>110032</v>
      </c>
      <c r="G140" s="154">
        <v>44470</v>
      </c>
      <c r="H140" s="154">
        <v>44834</v>
      </c>
      <c r="I140" s="154"/>
      <c r="J140" s="154"/>
      <c r="K140" s="187"/>
      <c r="L140" s="187"/>
      <c r="N140" s="186"/>
    </row>
    <row r="141" spans="1:14" ht="13.15" customHeight="1">
      <c r="A141" s="1">
        <f t="shared" si="3"/>
        <v>124</v>
      </c>
      <c r="B141" s="108" t="s">
        <v>1605</v>
      </c>
      <c r="C141" s="117" t="s">
        <v>1464</v>
      </c>
      <c r="D141" s="117"/>
      <c r="E141" s="117"/>
      <c r="F141" s="213">
        <v>110011</v>
      </c>
      <c r="G141" s="154">
        <v>44378</v>
      </c>
      <c r="H141" s="154">
        <v>44742</v>
      </c>
      <c r="I141" s="154"/>
      <c r="J141" s="154"/>
      <c r="K141" s="187"/>
      <c r="L141" s="187"/>
      <c r="N141" s="186"/>
    </row>
    <row r="142" spans="1:14" ht="13.15" customHeight="1">
      <c r="A142" s="1">
        <f t="shared" si="3"/>
        <v>125</v>
      </c>
      <c r="B142" s="108" t="s">
        <v>1606</v>
      </c>
      <c r="C142" s="117" t="s">
        <v>1465</v>
      </c>
      <c r="D142" s="117"/>
      <c r="E142" s="117"/>
      <c r="F142" s="213">
        <v>110015</v>
      </c>
      <c r="G142" s="154">
        <v>44378</v>
      </c>
      <c r="H142" s="154">
        <v>44742</v>
      </c>
      <c r="I142" s="154"/>
      <c r="J142" s="154"/>
      <c r="K142" s="187"/>
      <c r="L142" s="187"/>
      <c r="N142" s="186"/>
    </row>
    <row r="143" spans="1:14" ht="13.15" customHeight="1">
      <c r="A143" s="1">
        <f t="shared" si="3"/>
        <v>126</v>
      </c>
      <c r="B143" s="186" t="s">
        <v>1607</v>
      </c>
      <c r="C143" s="117" t="s">
        <v>1466</v>
      </c>
      <c r="D143" s="1"/>
      <c r="E143" s="1"/>
      <c r="F143" s="213">
        <v>110135</v>
      </c>
      <c r="G143" s="187">
        <v>44287</v>
      </c>
      <c r="H143" s="187">
        <v>44651</v>
      </c>
      <c r="I143" s="187"/>
      <c r="J143" s="187"/>
      <c r="K143" s="187"/>
      <c r="L143" s="187"/>
      <c r="N143" s="186"/>
    </row>
    <row r="144" spans="1:14" ht="13.15" customHeight="1">
      <c r="A144" s="1">
        <f t="shared" si="3"/>
        <v>127</v>
      </c>
      <c r="B144" s="186" t="s">
        <v>1608</v>
      </c>
      <c r="C144" s="117" t="s">
        <v>1467</v>
      </c>
      <c r="D144" s="1"/>
      <c r="E144" s="1"/>
      <c r="F144" s="213">
        <v>110095</v>
      </c>
      <c r="G144" s="187">
        <v>44470</v>
      </c>
      <c r="H144" s="187">
        <v>44834</v>
      </c>
      <c r="I144" s="187"/>
      <c r="J144" s="187"/>
      <c r="K144" s="187"/>
      <c r="L144" s="187"/>
      <c r="N144" s="186"/>
    </row>
    <row r="145" spans="1:14" ht="13.15" customHeight="1">
      <c r="A145" s="1">
        <f t="shared" si="3"/>
        <v>128</v>
      </c>
      <c r="B145" s="186" t="s">
        <v>1609</v>
      </c>
      <c r="C145" s="117" t="s">
        <v>1468</v>
      </c>
      <c r="D145" s="1"/>
      <c r="E145" s="1"/>
      <c r="F145" s="213">
        <v>110051</v>
      </c>
      <c r="G145" s="187">
        <v>44317</v>
      </c>
      <c r="H145" s="187">
        <v>44681</v>
      </c>
      <c r="I145" s="187"/>
      <c r="J145" s="187"/>
      <c r="K145" s="187"/>
      <c r="L145" s="187"/>
      <c r="N145" s="186"/>
    </row>
    <row r="146" spans="1:14" ht="13.15" customHeight="1">
      <c r="A146" s="1">
        <f t="shared" si="3"/>
        <v>129</v>
      </c>
      <c r="B146" s="186" t="s">
        <v>1610</v>
      </c>
      <c r="C146" s="117" t="s">
        <v>1469</v>
      </c>
      <c r="D146" s="1"/>
      <c r="E146" s="1"/>
      <c r="F146" s="213">
        <v>110028</v>
      </c>
      <c r="G146" s="187">
        <v>44562</v>
      </c>
      <c r="H146" s="187">
        <v>44926</v>
      </c>
      <c r="I146" s="187"/>
      <c r="J146" s="187"/>
      <c r="K146" s="187"/>
      <c r="L146" s="187"/>
      <c r="N146" s="186"/>
    </row>
    <row r="147" spans="1:14" ht="13.15" customHeight="1">
      <c r="A147" s="1">
        <f t="shared" si="3"/>
        <v>130</v>
      </c>
      <c r="B147" s="186" t="s">
        <v>1611</v>
      </c>
      <c r="C147" s="117" t="s">
        <v>1470</v>
      </c>
      <c r="D147" s="1"/>
      <c r="E147" s="1"/>
      <c r="F147" s="213">
        <v>110111</v>
      </c>
      <c r="G147" s="187">
        <v>44562</v>
      </c>
      <c r="H147" s="187">
        <v>44926</v>
      </c>
      <c r="I147" s="187"/>
      <c r="J147" s="187"/>
      <c r="K147" s="187"/>
      <c r="L147" s="187"/>
      <c r="N147" s="186"/>
    </row>
    <row r="148" spans="1:14" ht="13.15" customHeight="1">
      <c r="A148" s="1">
        <f t="shared" si="3"/>
        <v>131</v>
      </c>
      <c r="B148" s="186" t="s">
        <v>1612</v>
      </c>
      <c r="C148" s="117" t="s">
        <v>1471</v>
      </c>
      <c r="D148" s="1"/>
      <c r="E148" s="1"/>
      <c r="F148" s="213">
        <v>110002</v>
      </c>
      <c r="G148" s="187">
        <v>44562</v>
      </c>
      <c r="H148" s="187">
        <v>44926</v>
      </c>
      <c r="I148" s="187"/>
      <c r="J148" s="187"/>
      <c r="K148" s="187"/>
      <c r="L148" s="187"/>
      <c r="N148" s="186"/>
    </row>
    <row r="149" spans="1:14" ht="13.15" customHeight="1">
      <c r="A149" s="1">
        <f t="shared" si="3"/>
        <v>132</v>
      </c>
      <c r="B149" s="186" t="s">
        <v>1613</v>
      </c>
      <c r="C149" s="117" t="s">
        <v>1472</v>
      </c>
      <c r="D149" s="1"/>
      <c r="E149" s="1"/>
      <c r="F149" s="213">
        <v>111316</v>
      </c>
      <c r="G149" s="187">
        <v>44562</v>
      </c>
      <c r="H149" s="187">
        <v>44926</v>
      </c>
      <c r="I149" s="187"/>
      <c r="J149" s="187"/>
      <c r="K149" s="187"/>
      <c r="L149" s="187"/>
      <c r="N149" s="186"/>
    </row>
    <row r="150" spans="1:14" ht="13.15" customHeight="1">
      <c r="A150" s="1">
        <f t="shared" si="3"/>
        <v>133</v>
      </c>
      <c r="B150" s="186" t="s">
        <v>1614</v>
      </c>
      <c r="C150" s="117" t="s">
        <v>1473</v>
      </c>
      <c r="D150" s="1"/>
      <c r="E150" s="1"/>
      <c r="F150" s="213">
        <v>110086</v>
      </c>
      <c r="G150" s="187">
        <v>44440</v>
      </c>
      <c r="H150" s="187">
        <v>44804</v>
      </c>
      <c r="I150" s="187"/>
      <c r="J150" s="187"/>
      <c r="K150" s="187"/>
      <c r="L150" s="187"/>
      <c r="N150" s="186"/>
    </row>
    <row r="151" spans="1:14" ht="13.15" customHeight="1">
      <c r="A151" s="1">
        <f t="shared" si="3"/>
        <v>134</v>
      </c>
      <c r="B151" s="186" t="s">
        <v>1615</v>
      </c>
      <c r="C151" s="117" t="s">
        <v>1474</v>
      </c>
      <c r="D151" s="1"/>
      <c r="E151" s="1"/>
      <c r="F151" s="213">
        <v>110124</v>
      </c>
      <c r="G151" s="187">
        <v>44378</v>
      </c>
      <c r="H151" s="187">
        <v>44742</v>
      </c>
      <c r="I151" s="187"/>
      <c r="J151" s="187"/>
      <c r="K151" s="187"/>
      <c r="L151" s="187"/>
      <c r="N151" s="186"/>
    </row>
    <row r="152" spans="1:14" ht="13.15" customHeight="1">
      <c r="A152" s="1">
        <f t="shared" si="3"/>
        <v>135</v>
      </c>
      <c r="B152" s="186" t="s">
        <v>1616</v>
      </c>
      <c r="C152" s="117" t="s">
        <v>1475</v>
      </c>
      <c r="D152" s="1" t="s">
        <v>1491</v>
      </c>
      <c r="E152" s="1"/>
      <c r="F152" s="213">
        <v>110115</v>
      </c>
      <c r="G152" s="187">
        <v>44378</v>
      </c>
      <c r="H152" s="187">
        <v>44742</v>
      </c>
      <c r="I152" s="187"/>
      <c r="J152" s="187"/>
      <c r="K152" s="187"/>
      <c r="L152" s="187"/>
      <c r="N152" s="186"/>
    </row>
    <row r="153" spans="1:14" ht="13.15" customHeight="1">
      <c r="A153" s="1">
        <f t="shared" si="3"/>
        <v>136</v>
      </c>
      <c r="B153" s="186" t="s">
        <v>1617</v>
      </c>
      <c r="C153" s="117" t="s">
        <v>1476</v>
      </c>
      <c r="D153" s="1"/>
      <c r="E153" s="1"/>
      <c r="F153" s="213">
        <v>110143</v>
      </c>
      <c r="G153" s="187">
        <v>44378</v>
      </c>
      <c r="H153" s="187">
        <v>44742</v>
      </c>
      <c r="I153" s="187"/>
      <c r="J153" s="187"/>
      <c r="K153" s="187"/>
      <c r="L153" s="187"/>
      <c r="N153" s="186"/>
    </row>
    <row r="154" spans="1:14" ht="13.15" customHeight="1">
      <c r="A154" s="1">
        <f t="shared" si="3"/>
        <v>137</v>
      </c>
      <c r="B154" s="186" t="s">
        <v>1618</v>
      </c>
      <c r="C154" s="117" t="s">
        <v>1477</v>
      </c>
      <c r="D154" s="1"/>
      <c r="E154" s="1"/>
      <c r="F154" s="213">
        <v>110184</v>
      </c>
      <c r="G154" s="187">
        <v>44378</v>
      </c>
      <c r="H154" s="187">
        <v>44742</v>
      </c>
      <c r="I154" s="187"/>
      <c r="J154" s="187"/>
      <c r="K154" s="187"/>
      <c r="L154" s="187"/>
      <c r="N154" s="186"/>
    </row>
    <row r="155" spans="1:14" ht="13.15" customHeight="1">
      <c r="A155" s="1">
        <f t="shared" si="3"/>
        <v>138</v>
      </c>
      <c r="B155" s="186" t="s">
        <v>1619</v>
      </c>
      <c r="C155" s="117" t="s">
        <v>1478</v>
      </c>
      <c r="D155" s="1"/>
      <c r="E155" s="1"/>
      <c r="F155" s="213">
        <v>110035</v>
      </c>
      <c r="G155" s="187">
        <v>44378</v>
      </c>
      <c r="H155" s="187">
        <v>44742</v>
      </c>
      <c r="I155" s="187"/>
      <c r="J155" s="187"/>
      <c r="K155" s="187"/>
      <c r="L155" s="187"/>
      <c r="N155" s="186"/>
    </row>
    <row r="156" spans="1:14" ht="13.15" customHeight="1">
      <c r="A156" s="1">
        <f t="shared" si="3"/>
        <v>139</v>
      </c>
      <c r="B156" s="186" t="s">
        <v>1620</v>
      </c>
      <c r="C156" s="117" t="s">
        <v>1479</v>
      </c>
      <c r="D156" s="1"/>
      <c r="E156" s="1"/>
      <c r="F156" s="213">
        <v>110198</v>
      </c>
      <c r="G156" s="187">
        <v>44378</v>
      </c>
      <c r="H156" s="187">
        <v>44742</v>
      </c>
      <c r="I156" s="187"/>
      <c r="J156" s="187"/>
      <c r="K156" s="187"/>
      <c r="L156" s="187"/>
      <c r="N156" s="186"/>
    </row>
    <row r="157" spans="1:14" ht="13.15" customHeight="1">
      <c r="A157" s="1">
        <f t="shared" si="3"/>
        <v>140</v>
      </c>
      <c r="B157" s="186" t="s">
        <v>1621</v>
      </c>
      <c r="C157" s="117" t="s">
        <v>1480</v>
      </c>
      <c r="D157" s="1"/>
      <c r="E157" s="1"/>
      <c r="F157" s="213">
        <v>110042</v>
      </c>
      <c r="G157" s="187">
        <v>44378</v>
      </c>
      <c r="H157" s="187">
        <v>44742</v>
      </c>
      <c r="I157" s="187"/>
      <c r="J157" s="187"/>
      <c r="K157" s="187"/>
      <c r="L157" s="187"/>
      <c r="N157" s="186"/>
    </row>
    <row r="158" spans="1:14" ht="13.15" customHeight="1">
      <c r="A158" s="1">
        <f t="shared" si="3"/>
        <v>141</v>
      </c>
      <c r="B158" s="186" t="s">
        <v>1622</v>
      </c>
      <c r="C158" s="117" t="s">
        <v>1481</v>
      </c>
      <c r="D158" s="1"/>
      <c r="E158" s="1"/>
      <c r="F158" s="213">
        <v>110031</v>
      </c>
      <c r="G158" s="187">
        <v>44378</v>
      </c>
      <c r="H158" s="187">
        <v>44742</v>
      </c>
      <c r="I158" s="187"/>
      <c r="J158" s="187"/>
      <c r="K158" s="187"/>
      <c r="L158" s="187"/>
      <c r="N158" s="186"/>
    </row>
    <row r="159" spans="1:14" ht="13.15" customHeight="1">
      <c r="A159" s="1">
        <f t="shared" si="3"/>
        <v>142</v>
      </c>
      <c r="B159" s="186" t="s">
        <v>1623</v>
      </c>
      <c r="C159" s="117" t="s">
        <v>1482</v>
      </c>
      <c r="D159" s="1"/>
      <c r="E159" s="1"/>
      <c r="F159" s="213">
        <v>111319</v>
      </c>
      <c r="G159" s="187">
        <v>44378</v>
      </c>
      <c r="H159" s="187">
        <v>44742</v>
      </c>
      <c r="I159" s="187"/>
      <c r="J159" s="187"/>
      <c r="K159" s="187"/>
      <c r="L159" s="187"/>
      <c r="N159" s="186"/>
    </row>
    <row r="160" spans="1:14" ht="13.15" customHeight="1">
      <c r="A160" s="1">
        <f t="shared" si="3"/>
        <v>143</v>
      </c>
      <c r="B160" s="186" t="s">
        <v>1624</v>
      </c>
      <c r="C160" s="117" t="s">
        <v>1483</v>
      </c>
      <c r="D160" s="1"/>
      <c r="E160" s="1"/>
      <c r="F160" s="213">
        <v>110016</v>
      </c>
      <c r="G160" s="187">
        <v>44378</v>
      </c>
      <c r="H160" s="187">
        <v>44742</v>
      </c>
      <c r="I160" s="187"/>
      <c r="J160" s="187"/>
      <c r="K160" s="187"/>
      <c r="L160" s="187"/>
      <c r="N160" s="186"/>
    </row>
    <row r="161" spans="1:14" ht="13.15" customHeight="1">
      <c r="A161" s="1">
        <f t="shared" si="3"/>
        <v>144</v>
      </c>
      <c r="B161" s="186" t="s">
        <v>1625</v>
      </c>
      <c r="C161" s="117" t="s">
        <v>1484</v>
      </c>
      <c r="D161" s="1"/>
      <c r="E161" s="1"/>
      <c r="F161" s="213">
        <v>112007</v>
      </c>
      <c r="G161" s="187">
        <v>44378</v>
      </c>
      <c r="H161" s="187">
        <v>44742</v>
      </c>
      <c r="I161" s="187"/>
      <c r="J161" s="187"/>
      <c r="K161" s="187"/>
      <c r="L161" s="187"/>
      <c r="N161" s="186"/>
    </row>
    <row r="162" spans="1:14" ht="13.15" customHeight="1">
      <c r="A162" s="1">
        <f t="shared" si="3"/>
        <v>145</v>
      </c>
      <c r="B162" s="186" t="s">
        <v>1626</v>
      </c>
      <c r="C162" s="117" t="s">
        <v>1485</v>
      </c>
      <c r="D162" s="1"/>
      <c r="E162" s="1"/>
      <c r="F162" s="213">
        <v>111325</v>
      </c>
      <c r="G162" s="187">
        <v>44317</v>
      </c>
      <c r="H162" s="187">
        <v>44681</v>
      </c>
      <c r="I162" s="187"/>
      <c r="J162" s="187"/>
      <c r="K162" s="187"/>
      <c r="L162" s="187"/>
      <c r="N162" s="186"/>
    </row>
    <row r="163" spans="1:14" ht="13.15" customHeight="1">
      <c r="A163" s="1">
        <f t="shared" si="3"/>
        <v>146</v>
      </c>
      <c r="B163" s="186"/>
      <c r="C163" s="117"/>
      <c r="D163" s="1"/>
      <c r="E163" s="1"/>
      <c r="F163" s="213"/>
      <c r="G163" s="187"/>
      <c r="H163" s="187"/>
      <c r="I163" s="187"/>
      <c r="J163" s="187"/>
      <c r="K163" s="187"/>
      <c r="L163" s="187"/>
      <c r="N163" s="186"/>
    </row>
    <row r="164" spans="1:14" ht="13.15" customHeight="1">
      <c r="A164" s="1">
        <f t="shared" si="3"/>
        <v>147</v>
      </c>
      <c r="B164" s="186"/>
      <c r="C164" s="117"/>
      <c r="D164" s="1"/>
      <c r="E164" s="1"/>
      <c r="F164" s="213"/>
      <c r="G164" s="187"/>
      <c r="H164" s="187"/>
      <c r="I164" s="187"/>
      <c r="J164" s="187"/>
      <c r="K164" s="187"/>
      <c r="L164" s="187"/>
      <c r="N164" s="186"/>
    </row>
    <row r="165" spans="1:14" ht="13.15" customHeight="1">
      <c r="A165" s="1">
        <f t="shared" si="3"/>
        <v>148</v>
      </c>
      <c r="B165" s="186"/>
      <c r="C165" s="117"/>
      <c r="D165" s="1"/>
      <c r="E165" s="1"/>
      <c r="F165" s="213"/>
      <c r="G165" s="187"/>
      <c r="H165" s="187"/>
      <c r="I165" s="187"/>
      <c r="J165" s="187"/>
      <c r="K165" s="187"/>
      <c r="L165" s="187"/>
      <c r="N165" s="186"/>
    </row>
    <row r="166" spans="1:14" ht="13.15" customHeight="1">
      <c r="A166" s="1">
        <f t="shared" si="3"/>
        <v>149</v>
      </c>
      <c r="B166" s="186"/>
      <c r="C166" s="117"/>
      <c r="D166" s="1"/>
      <c r="E166" s="1"/>
      <c r="F166" s="213"/>
      <c r="G166" s="187"/>
      <c r="H166" s="187"/>
      <c r="I166" s="187"/>
      <c r="J166" s="187"/>
      <c r="K166" s="187"/>
      <c r="L166" s="187"/>
      <c r="N166" s="186"/>
    </row>
    <row r="167" spans="1:14" ht="13.15" customHeight="1">
      <c r="A167" s="1">
        <f t="shared" si="3"/>
        <v>150</v>
      </c>
      <c r="B167" s="186"/>
      <c r="C167" s="117"/>
      <c r="D167" s="1"/>
      <c r="E167" s="1"/>
      <c r="F167" s="213"/>
      <c r="G167" s="187"/>
      <c r="H167" s="187"/>
      <c r="I167" s="187"/>
      <c r="J167" s="187"/>
      <c r="K167" s="187"/>
      <c r="L167" s="187"/>
      <c r="N167" s="186"/>
    </row>
    <row r="168" spans="1:14" ht="13.15" customHeight="1">
      <c r="A168" s="1">
        <f t="shared" si="3"/>
        <v>151</v>
      </c>
      <c r="B168" s="186"/>
      <c r="C168" s="117"/>
      <c r="D168" s="1"/>
      <c r="E168" s="1"/>
      <c r="F168" s="213"/>
      <c r="G168" s="187"/>
      <c r="H168" s="187"/>
      <c r="I168" s="187"/>
      <c r="J168" s="187"/>
      <c r="K168" s="187"/>
      <c r="L168" s="187"/>
      <c r="N168" s="186"/>
    </row>
    <row r="169" spans="1:14" ht="13.15" customHeight="1">
      <c r="A169" s="1">
        <f t="shared" si="3"/>
        <v>152</v>
      </c>
      <c r="B169" s="186"/>
      <c r="C169" s="117"/>
      <c r="D169" s="1"/>
      <c r="E169" s="1"/>
      <c r="F169" s="213"/>
      <c r="G169" s="187"/>
      <c r="H169" s="187"/>
      <c r="I169" s="187"/>
      <c r="J169" s="187"/>
      <c r="K169" s="187"/>
      <c r="L169" s="187"/>
      <c r="N169" s="186"/>
    </row>
    <row r="170" spans="1:14" ht="13.15" customHeight="1">
      <c r="A170" s="1">
        <f t="shared" ref="A170:A178" si="4">A169+1</f>
        <v>153</v>
      </c>
      <c r="B170" s="186"/>
      <c r="C170" s="117"/>
      <c r="D170" s="1"/>
      <c r="E170" s="1"/>
      <c r="F170" s="213"/>
      <c r="G170" s="187"/>
      <c r="H170" s="187"/>
      <c r="I170" s="187"/>
      <c r="J170" s="187"/>
      <c r="K170" s="187"/>
      <c r="L170" s="187"/>
      <c r="N170" s="186"/>
    </row>
    <row r="171" spans="1:14" ht="13.15" customHeight="1">
      <c r="A171" s="1">
        <f t="shared" si="4"/>
        <v>154</v>
      </c>
      <c r="B171" s="186"/>
      <c r="C171" s="117"/>
      <c r="D171" s="1"/>
      <c r="E171" s="1"/>
      <c r="F171" s="213"/>
      <c r="G171" s="187"/>
      <c r="H171" s="187"/>
      <c r="I171" s="187"/>
      <c r="J171" s="187"/>
      <c r="K171" s="187"/>
      <c r="L171" s="187"/>
      <c r="N171" s="186"/>
    </row>
    <row r="172" spans="1:14" ht="13.15" customHeight="1">
      <c r="A172" s="1">
        <f t="shared" si="4"/>
        <v>155</v>
      </c>
      <c r="B172" s="186"/>
      <c r="C172" s="117"/>
      <c r="D172" s="1"/>
      <c r="E172" s="1"/>
      <c r="F172" s="213"/>
      <c r="G172" s="187"/>
      <c r="H172" s="187"/>
      <c r="I172" s="187"/>
      <c r="J172" s="187"/>
      <c r="K172" s="187"/>
      <c r="L172" s="187"/>
      <c r="N172" s="186"/>
    </row>
    <row r="173" spans="1:14" ht="13.15" customHeight="1">
      <c r="A173" s="1">
        <f t="shared" si="4"/>
        <v>156</v>
      </c>
      <c r="B173" s="186"/>
      <c r="C173" s="117"/>
      <c r="D173" s="1"/>
      <c r="E173" s="1"/>
      <c r="F173" s="213"/>
      <c r="G173" s="187"/>
      <c r="H173" s="187"/>
      <c r="I173" s="187"/>
      <c r="J173" s="187"/>
      <c r="K173" s="187"/>
      <c r="L173" s="187"/>
      <c r="N173" s="186"/>
    </row>
    <row r="174" spans="1:14" ht="13.15" customHeight="1">
      <c r="A174" s="1">
        <f t="shared" si="4"/>
        <v>157</v>
      </c>
      <c r="B174" s="186"/>
      <c r="C174" s="117"/>
      <c r="D174" s="1"/>
      <c r="E174" s="1"/>
      <c r="F174" s="213"/>
      <c r="G174" s="187"/>
      <c r="H174" s="187"/>
      <c r="I174" s="187"/>
      <c r="J174" s="187"/>
      <c r="K174" s="187"/>
      <c r="L174" s="187"/>
      <c r="N174" s="186"/>
    </row>
    <row r="175" spans="1:14" ht="13.15" customHeight="1">
      <c r="A175" s="1">
        <f t="shared" si="4"/>
        <v>158</v>
      </c>
      <c r="B175" s="186"/>
      <c r="C175" s="117"/>
      <c r="D175" s="1"/>
      <c r="E175" s="1"/>
      <c r="F175" s="213"/>
      <c r="G175" s="187"/>
      <c r="H175" s="187"/>
      <c r="I175" s="187"/>
      <c r="J175" s="187"/>
      <c r="K175" s="187"/>
      <c r="L175" s="187"/>
      <c r="N175" s="186"/>
    </row>
    <row r="176" spans="1:14" ht="13.15" customHeight="1">
      <c r="A176" s="1">
        <f t="shared" si="4"/>
        <v>159</v>
      </c>
      <c r="B176" s="186"/>
      <c r="C176" s="117"/>
      <c r="D176" s="1"/>
      <c r="E176" s="1"/>
      <c r="F176" s="213"/>
      <c r="G176" s="187"/>
      <c r="H176" s="187"/>
      <c r="I176" s="187"/>
      <c r="J176" s="187"/>
      <c r="K176" s="187"/>
      <c r="L176" s="187"/>
      <c r="N176" s="186"/>
    </row>
    <row r="177" spans="1:14" ht="13.15" customHeight="1">
      <c r="A177" s="1">
        <f t="shared" si="4"/>
        <v>160</v>
      </c>
      <c r="B177" s="186"/>
      <c r="C177" s="117"/>
      <c r="D177" s="1"/>
      <c r="E177" s="1"/>
      <c r="F177" s="213"/>
      <c r="G177" s="187"/>
      <c r="H177" s="187"/>
      <c r="I177" s="187"/>
      <c r="J177" s="187"/>
      <c r="K177" s="187"/>
      <c r="L177" s="187"/>
      <c r="N177" s="186"/>
    </row>
    <row r="178" spans="1:14" ht="13.9" customHeight="1" thickBot="1">
      <c r="A178" s="1">
        <f t="shared" si="4"/>
        <v>161</v>
      </c>
      <c r="B178" s="186"/>
      <c r="C178" s="1"/>
      <c r="D178" s="1"/>
      <c r="E178" s="1"/>
      <c r="F178" s="1"/>
      <c r="G178" s="187"/>
      <c r="H178" s="187"/>
      <c r="I178" s="187"/>
      <c r="J178" s="187"/>
      <c r="K178" s="187"/>
      <c r="L178" s="187"/>
      <c r="N178" s="186"/>
    </row>
    <row r="179" spans="1:14" ht="13" thickBot="1">
      <c r="A179" s="360" t="s">
        <v>129</v>
      </c>
      <c r="B179" s="361"/>
      <c r="C179" s="361"/>
      <c r="D179" s="361"/>
      <c r="E179" s="361"/>
      <c r="F179" s="361"/>
      <c r="G179" s="361"/>
      <c r="H179" s="361"/>
      <c r="I179" s="361"/>
      <c r="J179" s="361"/>
      <c r="K179" s="361"/>
      <c r="L179" s="361"/>
      <c r="M179" s="361"/>
      <c r="N179" s="362"/>
    </row>
    <row r="180" spans="1:14">
      <c r="A180" s="1"/>
    </row>
    <row r="181" spans="1:14">
      <c r="A181" s="1"/>
    </row>
    <row r="182" spans="1:14">
      <c r="A182" s="1"/>
    </row>
    <row r="183" spans="1:14">
      <c r="A183" s="1"/>
    </row>
    <row r="184" spans="1:14">
      <c r="A184" s="1"/>
    </row>
    <row r="185" spans="1:14">
      <c r="A185" s="1"/>
    </row>
    <row r="186" spans="1:14">
      <c r="A186" s="1"/>
    </row>
    <row r="187" spans="1:14">
      <c r="A187" s="1"/>
    </row>
    <row r="188" spans="1:14">
      <c r="A188" s="1"/>
    </row>
    <row r="189" spans="1:14">
      <c r="A189" s="1"/>
    </row>
    <row r="190" spans="1:14">
      <c r="A190" s="1"/>
    </row>
    <row r="191" spans="1:14">
      <c r="A191" s="1"/>
    </row>
    <row r="192" spans="1:14">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sheetData>
  <sheetProtection formatCells="0"/>
  <mergeCells count="3">
    <mergeCell ref="D9:I10"/>
    <mergeCell ref="A179:N179"/>
    <mergeCell ref="H13:I13"/>
  </mergeCells>
  <phoneticPr fontId="0" type="noConversion"/>
  <conditionalFormatting sqref="M4:N5 M7:N7">
    <cfRule type="expression" dxfId="25" priority="4">
      <formula>State&lt;&gt;"Louisiana"</formula>
    </cfRule>
  </conditionalFormatting>
  <conditionalFormatting sqref="M15:N17">
    <cfRule type="expression" dxfId="24" priority="5">
      <formula>State&lt;&gt;"Louisiana"</formula>
    </cfRule>
  </conditionalFormatting>
  <conditionalFormatting sqref="O4:P4">
    <cfRule type="expression" dxfId="23" priority="11">
      <formula>$B$1&lt;&gt;"Florida"</formula>
    </cfRule>
  </conditionalFormatting>
  <dataValidations count="8">
    <dataValidation type="list" allowBlank="1" showInputMessage="1" showErrorMessage="1" sqref="K4" xr:uid="{00000000-0002-0000-0300-000000000000}">
      <formula1>"Yes, No"</formula1>
    </dataValidation>
    <dataValidation type="list" allowBlank="1" showInputMessage="1" showErrorMessage="1" sqref="I6" xr:uid="{00000000-0002-0000-0300-000001000000}">
      <formula1>"Yes,No"</formula1>
    </dataValidation>
    <dataValidation type="list" allowBlank="1" showInputMessage="1" showErrorMessage="1" sqref="N4" xr:uid="{00000000-0002-0000-0300-000002000000}">
      <formula1>"Small Rural, Act 540, High Medicaid, All Others"</formula1>
    </dataValidation>
    <dataValidation type="list" allowBlank="1" showInputMessage="1" showErrorMessage="1" sqref="N18:N178" xr:uid="{00000000-0002-0000-0300-000003000000}">
      <formula1>"Private, State Gov't, Non-State Gov't"</formula1>
    </dataValidation>
    <dataValidation type="list" allowBlank="1" showInputMessage="1" showErrorMessage="1" sqref="M18:M178" xr:uid="{00000000-0002-0000-0300-000004000000}">
      <formula1>"High Medicaid, LINCCA, Non-State Large Public (CPE), Major Medical (Central &amp; Northern), Major Medical (Southwestern), Small Rural"</formula1>
    </dataValidation>
    <dataValidation type="list" allowBlank="1" showInputMessage="1" showErrorMessage="1" sqref="N7" xr:uid="{00000000-0002-0000-0300-000005000000}">
      <formula1>"Payment, Examination"</formula1>
    </dataValidation>
    <dataValidation type="list" allowBlank="1" showInputMessage="1" showErrorMessage="1" sqref="P4" xr:uid="{00000000-0002-0000-0300-000006000000}">
      <formula1>"LIP+DSH,DSH Only"</formula1>
    </dataValidation>
    <dataValidation type="list" allowBlank="1" showInputMessage="1" showErrorMessage="1" sqref="B1" xr:uid="{00000000-0002-0000-0300-000007000000}">
      <formula1>All_States</formula1>
    </dataValidation>
  </dataValidations>
  <printOptions horizontalCentered="1" gridLines="1"/>
  <pageMargins left="0.25" right="0.25" top="1" bottom="0.5" header="0.5" footer="0.25"/>
  <pageSetup scale="65" fitToHeight="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Button 11">
              <controlPr defaultSize="0" print="0" autoFill="0" autoPict="0" macro="[0]!HeaderFooterSetup">
                <anchor moveWithCells="1" sizeWithCells="1">
                  <from>
                    <xdr:col>3</xdr:col>
                    <xdr:colOff>57150</xdr:colOff>
                    <xdr:row>11</xdr:row>
                    <xdr:rowOff>88900</xdr:rowOff>
                  </from>
                  <to>
                    <xdr:col>4</xdr:col>
                    <xdr:colOff>393700</xdr:colOff>
                    <xdr:row>13</xdr:row>
                    <xdr:rowOff>38100</xdr:rowOff>
                  </to>
                </anchor>
              </controlPr>
            </control>
          </mc:Choice>
        </mc:AlternateContent>
        <mc:AlternateContent xmlns:mc="http://schemas.openxmlformats.org/markup-compatibility/2006">
          <mc:Choice Requires="x14">
            <control shapeId="5134" r:id="rId5" name="Button 14">
              <controlPr defaultSize="0" print="0" autoFill="0" autoPict="0" macro="[0]!PrepareTemplate">
                <anchor moveWithCells="1" sizeWithCells="1">
                  <from>
                    <xdr:col>1</xdr:col>
                    <xdr:colOff>400050</xdr:colOff>
                    <xdr:row>15</xdr:row>
                    <xdr:rowOff>38100</xdr:rowOff>
                  </from>
                  <to>
                    <xdr:col>1</xdr:col>
                    <xdr:colOff>3733800</xdr:colOff>
                    <xdr:row>15</xdr:row>
                    <xdr:rowOff>317500</xdr:rowOff>
                  </to>
                </anchor>
              </controlPr>
            </control>
          </mc:Choice>
        </mc:AlternateContent>
        <mc:AlternateContent xmlns:mc="http://schemas.openxmlformats.org/markup-compatibility/2006">
          <mc:Choice Requires="x14">
            <control shapeId="5135" r:id="rId6" name="Button 15">
              <controlPr defaultSize="0" print="0" autoFill="0" autoPict="0" macro="[0]!SetOutputFolder">
                <anchor moveWithCells="1" sizeWithCells="1">
                  <from>
                    <xdr:col>6</xdr:col>
                    <xdr:colOff>762000</xdr:colOff>
                    <xdr:row>11</xdr:row>
                    <xdr:rowOff>38100</xdr:rowOff>
                  </from>
                  <to>
                    <xdr:col>7</xdr:col>
                    <xdr:colOff>831850</xdr:colOff>
                    <xdr:row>13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indexed="10"/>
    <pageSetUpPr fitToPage="1"/>
  </sheetPr>
  <dimension ref="A1:AA665"/>
  <sheetViews>
    <sheetView showGridLines="0" topLeftCell="A16" zoomScale="85" zoomScaleNormal="85" workbookViewId="0">
      <selection activeCell="C3" sqref="C3"/>
    </sheetView>
  </sheetViews>
  <sheetFormatPr defaultColWidth="0" defaultRowHeight="12.5" zeroHeight="1"/>
  <cols>
    <col min="1" max="1" width="5.796875" style="301" customWidth="1"/>
    <col min="2" max="2" width="1.69921875" style="301" customWidth="1"/>
    <col min="3" max="3" width="120.5" style="301" customWidth="1"/>
    <col min="4" max="4" width="3.19921875" style="301" customWidth="1"/>
    <col min="5" max="5" width="9" style="301" hidden="1" customWidth="1"/>
    <col min="6" max="7" width="8.796875" style="301" hidden="1" customWidth="1"/>
    <col min="8" max="8" width="6.69921875" style="301" hidden="1" customWidth="1"/>
    <col min="9" max="9" width="8.796875" style="301" hidden="1" customWidth="1"/>
    <col min="10" max="10" width="130.796875" style="301" hidden="1" customWidth="1"/>
    <col min="11" max="13" width="8.796875" style="301" hidden="1" customWidth="1"/>
    <col min="14" max="14" width="17.5" style="301" hidden="1" customWidth="1"/>
    <col min="15" max="15" width="6.69921875" style="301" hidden="1" customWidth="1"/>
    <col min="16" max="16" width="8.796875" style="301" hidden="1" customWidth="1"/>
    <col min="17" max="17" width="157.796875" style="301" hidden="1" customWidth="1"/>
    <col min="18" max="21" width="8.796875" style="301" hidden="1" customWidth="1"/>
    <col min="22" max="22" width="6.69921875" style="301" hidden="1" customWidth="1"/>
    <col min="23" max="23" width="8.796875" style="301" hidden="1" customWidth="1"/>
    <col min="24" max="24" width="116.796875" style="301" hidden="1" customWidth="1"/>
    <col min="25" max="25" width="8.796875" style="301" hidden="1" customWidth="1"/>
    <col min="26" max="16384" width="8.796875" style="301" hidden="1"/>
  </cols>
  <sheetData>
    <row r="1" spans="1:27" ht="13">
      <c r="A1" s="311" t="str">
        <f>IF(OR(State="Missouri",State="Louisiana",State="Wisconsin"),O1,IF(State="Indiana",V1,"N/A"))</f>
        <v>N/A</v>
      </c>
      <c r="B1" s="325"/>
      <c r="C1" s="325"/>
      <c r="M1" s="319" t="s">
        <v>1314</v>
      </c>
      <c r="N1" s="318"/>
      <c r="O1" s="311" t="str">
        <f>IF(State="Missouri",Missouri_Title,IF(State="Louisiana",Louisiana_Title,IF(State="Wisconsin",Wisconsin_Title,"")))</f>
        <v/>
      </c>
      <c r="P1" s="204"/>
      <c r="Q1" s="204"/>
      <c r="T1" s="319" t="s">
        <v>1201</v>
      </c>
      <c r="U1" s="318"/>
      <c r="V1" s="317" t="s">
        <v>1202</v>
      </c>
      <c r="W1" s="316"/>
      <c r="X1" s="315"/>
      <c r="Z1" s="47" t="s">
        <v>188</v>
      </c>
      <c r="AA1" s="47" t="s">
        <v>190</v>
      </c>
    </row>
    <row r="2" spans="1:27" ht="13">
      <c r="A2"/>
      <c r="B2"/>
      <c r="C2"/>
      <c r="M2" s="314"/>
      <c r="T2" s="314"/>
      <c r="X2" s="313"/>
      <c r="Z2" s="47" t="s">
        <v>244</v>
      </c>
      <c r="AA2" s="47" t="s">
        <v>245</v>
      </c>
    </row>
    <row r="3" spans="1:27" ht="98.5" customHeight="1">
      <c r="A3" s="321" t="str">
        <f>IF(OR(State="Missouri",State="Louisiana"),O3,IF(State="Indiana",V3,""))</f>
        <v/>
      </c>
      <c r="C3" s="322" t="str">
        <f>IF(OR(State="Missouri",AND(State="Louisiana", LA_ProjectType="Payment"),State="Wisconsin"),Q3,IF(State="Indiana",X3,"N/A"))</f>
        <v>N/A</v>
      </c>
      <c r="M3" s="314"/>
      <c r="O3" s="293" t="str">
        <f>IF(OR(State="Missouri",State="Louisiana"),1,"")</f>
        <v/>
      </c>
      <c r="Q3" s="10" t="str">
        <f>IF(State="Missouri",Missouri_Instructions,IF(State="Louisiana",Louisiana_Instructions,IF(State="Wisconsin",Wisconsin_Instructions,"")))</f>
        <v/>
      </c>
      <c r="T3" s="314"/>
      <c r="V3" s="321" t="s">
        <v>1203</v>
      </c>
      <c r="X3" s="288" t="s">
        <v>1204</v>
      </c>
      <c r="Z3" s="47" t="s">
        <v>188</v>
      </c>
      <c r="AA3" s="47" t="s">
        <v>1313</v>
      </c>
    </row>
    <row r="4" spans="1:27" ht="13" thickBot="1">
      <c r="A4" s="293"/>
      <c r="M4" s="314"/>
      <c r="T4" s="314"/>
      <c r="X4" s="313"/>
    </row>
    <row r="5" spans="1:27" ht="13">
      <c r="A5" s="311" t="str">
        <f>IF(OR(State="Missouri",State="Louisiana"),O5,IF(State="Indiana",V5,H5))</f>
        <v>A. General Instructions and Identification of Cost Reports that Cover the DSH Year:</v>
      </c>
      <c r="B5" s="204"/>
      <c r="C5" s="204"/>
      <c r="F5" s="319" t="s">
        <v>1197</v>
      </c>
      <c r="G5" s="318"/>
      <c r="H5" s="317" t="s">
        <v>121</v>
      </c>
      <c r="I5" s="316"/>
      <c r="J5" s="316"/>
      <c r="K5" s="312"/>
      <c r="M5" s="314"/>
      <c r="O5" s="311" t="s">
        <v>121</v>
      </c>
      <c r="P5" s="204"/>
      <c r="Q5" s="204"/>
      <c r="T5" s="314"/>
      <c r="V5" s="311" t="str">
        <f>H5</f>
        <v>A. General Instructions and Identification of Cost Reports that Cover the DSH Year:</v>
      </c>
      <c r="W5" s="204"/>
      <c r="X5" s="310"/>
    </row>
    <row r="6" spans="1:27">
      <c r="A6" s="309"/>
      <c r="F6" s="314"/>
      <c r="K6" s="313"/>
      <c r="M6" s="314"/>
      <c r="T6" s="314"/>
      <c r="X6" s="313"/>
    </row>
    <row r="7" spans="1:27" ht="60" customHeight="1">
      <c r="A7" s="293">
        <f>IF(OR(State="Missouri",State="Louisiana"),O7,IF(State="Indiana",V7,H7))</f>
        <v>1</v>
      </c>
      <c r="C7" s="322" t="str">
        <f>IF(OR(State="Missouri",State="Louisiana"),Q7,IF(State="Indiana",X7,J7))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F7" s="314"/>
      <c r="H7" s="293">
        <v>1</v>
      </c>
      <c r="J7" s="10" t="s">
        <v>1198</v>
      </c>
      <c r="K7" s="313"/>
      <c r="M7" s="314"/>
      <c r="O7" s="293">
        <v>1</v>
      </c>
      <c r="Q7" s="10" t="str">
        <f>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T7" s="314"/>
      <c r="V7" s="293">
        <v>1</v>
      </c>
      <c r="X7" s="288" t="s">
        <v>213</v>
      </c>
    </row>
    <row r="8" spans="1:27" ht="10.5" customHeight="1">
      <c r="A8" s="293"/>
      <c r="C8" s="10"/>
      <c r="F8" s="314"/>
      <c r="H8" s="293"/>
      <c r="J8" s="10"/>
      <c r="K8" s="313"/>
      <c r="M8" s="314"/>
      <c r="O8" s="293"/>
      <c r="Q8" s="10"/>
      <c r="T8" s="314"/>
      <c r="V8" s="293"/>
      <c r="X8" s="288"/>
    </row>
    <row r="9" spans="1:27" ht="67.5" customHeight="1">
      <c r="A9" s="293">
        <f>IF(OR(State="Missouri",State="Louisiana"),O9,IF(State="Indiana",V9,H9))</f>
        <v>2</v>
      </c>
      <c r="C9" s="322" t="str">
        <f>IF(OR(State="Missouri",State="Louisiana"),Q9,IF(State="Indiana",X9,J9))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F9" s="314"/>
      <c r="H9" s="293">
        <v>2</v>
      </c>
      <c r="J9" s="10" t="s">
        <v>1199</v>
      </c>
      <c r="K9" s="313"/>
      <c r="M9" s="314"/>
      <c r="O9" s="293">
        <v>2</v>
      </c>
      <c r="Q9" s="10" t="str">
        <f>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T9" s="314"/>
      <c r="V9" s="293">
        <v>2</v>
      </c>
      <c r="X9" s="324" t="str">
        <f>"NOTE:  For the SFY 2016 DSH Exam survey, the cost report(s) used must cover the entire SFY "&amp;Year&amp;" ("&amp;TEXT(DSH_Year_Begin,"mm/dd/yyy")&amp;" - "&amp;TEXT(DSH_Year_End,"mm/dd/yyyy")&amp;")."</f>
        <v>NOTE:  For the SFY 2016 DSH Exam survey, the cost report(s) used must cover the entire SFY 2022 (07/01/2021 - 06/30/2022).</v>
      </c>
    </row>
    <row r="10" spans="1:27" ht="67.5" customHeight="1">
      <c r="A10" s="293" t="str">
        <f>IF(OR(State="Missouri",State="Louisiana"),"",IF(State="Indiana",V10,""))</f>
        <v/>
      </c>
      <c r="C10" s="320" t="str">
        <f>IF(OR(State="Missouri",State="Louisiana"),Q10,IF(State="Indiana",X10,J10))</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F10" s="314"/>
      <c r="H10" s="293"/>
      <c r="J10" s="292" t="str">
        <f>"NOTE: For the "&amp;Year&amp;" DSH Survey, if your hospital completed the DSH survey for "&amp;PriorYear&amp;", the first cost report year should follow the last cost report year reported on the "&amp;PriorYear&amp;" DSH survey. The last cost report year on the "&amp;Year&amp;" survey must end on or after the end of the "&amp;Year&amp;" DSH year. If your hospital did not complete the "&amp;PriorYear&amp;" survey, your cost reports for "&amp;Year&amp;" must cover the entire "&amp;Year&amp;" DSH year."</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K10" s="313"/>
      <c r="M10" s="314"/>
      <c r="O10" s="293"/>
      <c r="Q10" s="292" t="str">
        <f>J10</f>
        <v>NOTE: For the 2022 DSH Survey, if your hospital completed the DSH survey for 2021, the first cost report year should follow the last cost report year reported on the 2021 DSH survey. The last cost report year on the 2022 survey must end on or after the end of the 2022 DSH year. If your hospital did not complete the 2021 survey, your cost reports for 2022 must cover the entire 2022 DSH year.</v>
      </c>
      <c r="T10" s="314"/>
      <c r="V10" s="293">
        <v>3</v>
      </c>
      <c r="X10" s="288" t="s">
        <v>214</v>
      </c>
    </row>
    <row r="11" spans="1:27" ht="11.25" customHeight="1">
      <c r="A11" s="293"/>
      <c r="C11" s="10"/>
      <c r="F11" s="314"/>
      <c r="H11" s="293"/>
      <c r="J11" s="10"/>
      <c r="K11" s="313"/>
      <c r="M11" s="314"/>
      <c r="O11" s="293"/>
      <c r="Q11" s="10"/>
      <c r="T11" s="314"/>
      <c r="V11" s="293"/>
      <c r="X11" s="288"/>
    </row>
    <row r="12" spans="1:27" ht="45.75" customHeight="1">
      <c r="A12" s="293">
        <f>IF(OR(State="Missouri",State="Louisiana"),O12,IF(State="Indiana",V12,H12))</f>
        <v>3</v>
      </c>
      <c r="C12" s="322" t="str">
        <f>IF(OR(State="Missouri",State="Louisiana"),Q12,IF(State="Indiana",X12,J12))</f>
        <v>Supporting documentation for all data elements provided within the DSH survey must be maintained for a minimum of five years from the date of survey submission.</v>
      </c>
      <c r="F12" s="314"/>
      <c r="H12" s="293">
        <v>3</v>
      </c>
      <c r="J12" s="10" t="s">
        <v>214</v>
      </c>
      <c r="K12" s="313"/>
      <c r="M12" s="314"/>
      <c r="O12" s="293">
        <v>3</v>
      </c>
      <c r="Q12" s="10" t="str">
        <f>J12</f>
        <v>Supporting documentation for all data elements provided within the DSH survey must be maintained for a minimum of five years from the date of survey submission.</v>
      </c>
      <c r="T12" s="314"/>
      <c r="V12" s="293" t="s">
        <v>1206</v>
      </c>
      <c r="X12" s="288" t="s">
        <v>1206</v>
      </c>
    </row>
    <row r="13" spans="1:27" ht="13">
      <c r="A13" s="311" t="str">
        <f>IF(OR(State="Missouri",State="Louisiana"),O13,IF(State="Indiana",V13,H13))</f>
        <v>B. DSH Qualifying Information:</v>
      </c>
      <c r="B13" s="204"/>
      <c r="C13" s="291"/>
      <c r="F13" s="314"/>
      <c r="H13" s="311" t="s">
        <v>1317</v>
      </c>
      <c r="I13" s="204"/>
      <c r="J13" s="291"/>
      <c r="K13" s="313"/>
      <c r="M13" s="314"/>
      <c r="O13" s="311" t="s">
        <v>1317</v>
      </c>
      <c r="P13" s="204"/>
      <c r="Q13" s="291"/>
      <c r="T13" s="314"/>
      <c r="V13" s="311" t="s">
        <v>1317</v>
      </c>
      <c r="W13" s="204"/>
      <c r="X13" s="287"/>
    </row>
    <row r="14" spans="1:27" ht="6.75" customHeight="1">
      <c r="A14" s="290"/>
      <c r="C14" s="10"/>
      <c r="F14" s="314"/>
      <c r="H14" s="290"/>
      <c r="J14" s="10"/>
      <c r="K14" s="313"/>
      <c r="M14" s="314"/>
      <c r="O14" s="290"/>
      <c r="Q14" s="10"/>
      <c r="T14" s="314"/>
      <c r="V14" s="290"/>
      <c r="X14" s="288"/>
    </row>
    <row r="15" spans="1:27" ht="67.5" customHeight="1">
      <c r="A15" s="293">
        <v>1</v>
      </c>
      <c r="C15" s="322" t="str">
        <f>IF(State="Missouri",Q15,IF(State="Indiana",X15,J15))</f>
        <v>Answer "B. DSH Qualifying Information" questions 1, 2 and 3 to determine if your hospital is eligible to receive DSH payments.</v>
      </c>
      <c r="F15" s="314"/>
      <c r="H15" s="293">
        <v>1</v>
      </c>
      <c r="J15" s="10" t="s">
        <v>1318</v>
      </c>
      <c r="K15" s="313"/>
      <c r="M15" s="314"/>
      <c r="O15" s="293">
        <v>1</v>
      </c>
      <c r="Q15" s="10" t="s">
        <v>1319</v>
      </c>
      <c r="T15" s="314"/>
      <c r="V15" s="293">
        <v>1</v>
      </c>
      <c r="X15" s="288" t="s">
        <v>1320</v>
      </c>
    </row>
    <row r="16" spans="1:27" ht="11.25" customHeight="1">
      <c r="A16" s="290"/>
      <c r="C16" s="10"/>
      <c r="F16" s="314"/>
      <c r="H16" s="290"/>
      <c r="J16" s="10"/>
      <c r="K16" s="313"/>
      <c r="M16" s="314"/>
      <c r="O16" s="290"/>
      <c r="Q16" s="10"/>
      <c r="T16" s="314"/>
      <c r="V16" s="290"/>
      <c r="X16" s="288"/>
    </row>
    <row r="17" spans="1:24" ht="13">
      <c r="A17" s="311" t="str">
        <f>IF(OR(State="Missouri",State="Louisiana"),O17,IF(State="Indiana",V17,H17))</f>
        <v>C. Disclosure of Other Medicaid Payments Received:</v>
      </c>
      <c r="B17" s="204"/>
      <c r="C17" s="291"/>
      <c r="F17" s="314"/>
      <c r="H17" s="311" t="s">
        <v>132</v>
      </c>
      <c r="I17" s="204"/>
      <c r="J17" s="291"/>
      <c r="K17" s="313"/>
      <c r="M17" s="314"/>
      <c r="O17" s="311" t="s">
        <v>132</v>
      </c>
      <c r="P17" s="204"/>
      <c r="Q17" s="291"/>
      <c r="T17" s="314"/>
      <c r="V17" s="311" t="s">
        <v>132</v>
      </c>
      <c r="W17" s="204"/>
      <c r="X17" s="287"/>
    </row>
    <row r="18" spans="1:24" ht="6.75" customHeight="1">
      <c r="A18" s="290"/>
      <c r="C18" s="10"/>
      <c r="F18" s="314"/>
      <c r="H18" s="290"/>
      <c r="J18" s="10"/>
      <c r="K18" s="313"/>
      <c r="M18" s="314"/>
      <c r="O18" s="290"/>
      <c r="Q18" s="10"/>
      <c r="T18" s="314"/>
      <c r="V18" s="290"/>
      <c r="X18" s="288"/>
    </row>
    <row r="19" spans="1:24" ht="43.9" customHeight="1">
      <c r="A19" s="293">
        <v>1</v>
      </c>
      <c r="C19" s="322" t="str">
        <f>IF(OR(State="Missouri",State="Louisiana"),Q19,IF(State="Indiana",X19,J19))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F19" s="314"/>
      <c r="H19" s="293">
        <v>1</v>
      </c>
      <c r="J19" s="10" t="s">
        <v>1205</v>
      </c>
      <c r="K19" s="313"/>
      <c r="M19" s="314"/>
      <c r="O19" s="293">
        <v>1</v>
      </c>
      <c r="Q19" s="10" t="str">
        <f>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T19" s="314"/>
      <c r="V19" s="293">
        <v>1</v>
      </c>
      <c r="X19" s="288" t="s">
        <v>1207</v>
      </c>
    </row>
    <row r="20" spans="1:24">
      <c r="A20" s="290"/>
      <c r="C20" s="10"/>
      <c r="F20" s="314"/>
      <c r="H20" s="290"/>
      <c r="J20" s="10"/>
      <c r="K20" s="313"/>
      <c r="M20" s="314"/>
      <c r="O20" s="290"/>
      <c r="Q20" s="10"/>
      <c r="T20" s="314"/>
      <c r="V20" s="290"/>
      <c r="X20" s="288"/>
    </row>
    <row r="21" spans="1:24" ht="13">
      <c r="A21" s="311" t="str">
        <f>IF(OR(State="Missouri",State="Louisiana"),O21,IF(State="Indiana",V21,H21))</f>
        <v>Certification:</v>
      </c>
      <c r="B21" s="204"/>
      <c r="C21" s="291"/>
      <c r="F21" s="314"/>
      <c r="H21" s="311" t="s">
        <v>9</v>
      </c>
      <c r="I21" s="204"/>
      <c r="J21" s="291"/>
      <c r="K21" s="313"/>
      <c r="M21" s="314"/>
      <c r="O21" s="311" t="s">
        <v>9</v>
      </c>
      <c r="P21" s="204"/>
      <c r="Q21" s="291"/>
      <c r="T21" s="314"/>
      <c r="V21" s="311" t="s">
        <v>9</v>
      </c>
      <c r="W21" s="204"/>
      <c r="X21" s="287"/>
    </row>
    <row r="22" spans="1:24" ht="6.75" customHeight="1">
      <c r="A22" s="290"/>
      <c r="C22" s="10"/>
      <c r="F22" s="314"/>
      <c r="H22" s="290"/>
      <c r="J22" s="10"/>
      <c r="K22" s="313"/>
      <c r="M22" s="314"/>
      <c r="O22" s="290"/>
      <c r="Q22" s="10"/>
      <c r="T22" s="314"/>
      <c r="V22" s="290"/>
      <c r="X22" s="288"/>
    </row>
    <row r="23" spans="1:24" ht="47.25" customHeight="1">
      <c r="A23" s="293">
        <v>1</v>
      </c>
      <c r="C23" s="322" t="str">
        <f>IF(OR(State="Missouri",State="Louisiana"),Q23,IF(State="Indiana",X23,J23))</f>
        <v xml:space="preserve">The hospital CEO or CFO must certify the accuracy of the survey responses. Provide hospital and outside preparer contacts who can respond to requests for additional information and answer questions related to the hospital's responses. </v>
      </c>
      <c r="F23" s="314"/>
      <c r="H23" s="293">
        <v>1</v>
      </c>
      <c r="J23" s="10" t="s">
        <v>1200</v>
      </c>
      <c r="K23" s="313"/>
      <c r="M23" s="314"/>
      <c r="O23" s="293">
        <v>1</v>
      </c>
      <c r="Q23" s="10" t="str">
        <f>J23</f>
        <v xml:space="preserve">The hospital CEO or CFO must certify the accuracy of the survey responses. Provide hospital and outside preparer contacts who can respond to requests for additional information and answer questions related to the hospital's responses. </v>
      </c>
      <c r="T23" s="314"/>
      <c r="V23" s="293">
        <v>1</v>
      </c>
      <c r="X23" s="288" t="s">
        <v>1208</v>
      </c>
    </row>
    <row r="24" spans="1:24" ht="13">
      <c r="A24" s="311" t="str">
        <f>IF(AND(State="Louisiana",Louisiana_Pool="Act 540"),O24,"N/A")</f>
        <v>N/A</v>
      </c>
      <c r="B24" s="204"/>
      <c r="C24" s="291"/>
      <c r="F24" s="314"/>
      <c r="H24" s="289"/>
      <c r="J24" s="10"/>
      <c r="K24" s="313"/>
      <c r="M24" s="314"/>
      <c r="O24" s="311" t="s">
        <v>361</v>
      </c>
      <c r="P24" s="204"/>
      <c r="Q24" s="291"/>
      <c r="T24" s="314"/>
      <c r="V24" s="289"/>
      <c r="X24" s="288"/>
    </row>
    <row r="25" spans="1:24">
      <c r="A25" s="293" t="str">
        <f>IF(AND(State="Louisiana",Louisiana_Pool="Act 540"),O25,"N/A")</f>
        <v>N/A</v>
      </c>
      <c r="C25" s="322" t="str">
        <f>IF(AND(State="Louisiana",Louisiana_Pool="Act 540"),Q25,"N/A")</f>
        <v>N/A</v>
      </c>
      <c r="F25" s="314"/>
      <c r="H25" s="289"/>
      <c r="J25" s="10"/>
      <c r="K25" s="313"/>
      <c r="M25" s="314"/>
      <c r="O25" s="293">
        <v>1</v>
      </c>
      <c r="Q25" s="10" t="s">
        <v>407</v>
      </c>
      <c r="T25" s="314"/>
      <c r="V25" s="289"/>
      <c r="X25" s="288"/>
    </row>
    <row r="26" spans="1:24" ht="25.9" customHeight="1" thickBot="1">
      <c r="A26" s="9"/>
      <c r="B26" s="9"/>
      <c r="C26" s="10"/>
      <c r="F26" s="314"/>
      <c r="H26" s="9"/>
      <c r="I26" s="9"/>
      <c r="J26" s="10"/>
      <c r="K26" s="313"/>
      <c r="M26" s="314"/>
      <c r="O26" s="9"/>
      <c r="P26" s="9"/>
      <c r="Q26" s="10"/>
      <c r="T26" s="314"/>
      <c r="V26" s="9"/>
      <c r="W26" s="9"/>
      <c r="X26" s="288"/>
    </row>
    <row r="27" spans="1:24" ht="50.25" customHeight="1" thickBot="1">
      <c r="A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B27" s="365"/>
      <c r="C27" s="366"/>
      <c r="F27" s="314"/>
      <c r="H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I27" s="365"/>
      <c r="J27" s="366"/>
      <c r="K27" s="313"/>
      <c r="M27" s="308"/>
      <c r="N27" s="307"/>
      <c r="O27" s="364"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P27" s="365"/>
      <c r="Q27" s="366"/>
      <c r="T27" s="314"/>
      <c r="V27" s="367"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W27" s="369"/>
      <c r="X27" s="370"/>
    </row>
    <row r="28" spans="1:24" ht="16.149999999999999" customHeight="1" thickBot="1">
      <c r="A28" s="367"/>
      <c r="B28" s="368"/>
      <c r="C28" s="368"/>
      <c r="F28" s="308"/>
      <c r="G28" s="307"/>
      <c r="H28" s="307"/>
      <c r="I28" s="307"/>
      <c r="J28" s="307"/>
      <c r="K28" s="306"/>
      <c r="T28" s="308"/>
      <c r="U28" s="307"/>
      <c r="V28" s="307"/>
      <c r="W28" s="307"/>
      <c r="X28" s="306"/>
    </row>
    <row r="29" spans="1:24" ht="15.5" hidden="1">
      <c r="A29" s="9"/>
      <c r="B29" s="9"/>
      <c r="C29" s="44"/>
    </row>
    <row r="30" spans="1:24" ht="15.5" hidden="1">
      <c r="A30" s="9"/>
      <c r="B30" s="9"/>
      <c r="C30" s="44"/>
    </row>
    <row r="31" spans="1:24" ht="15.5" hidden="1">
      <c r="A31" s="9"/>
      <c r="B31" s="9"/>
      <c r="C31" s="44"/>
    </row>
    <row r="32" spans="1:24" ht="15.5" hidden="1">
      <c r="A32" s="9"/>
      <c r="B32" s="9"/>
      <c r="C32" s="44"/>
    </row>
    <row r="33" spans="1:3" ht="15.5" hidden="1">
      <c r="A33" s="9"/>
      <c r="B33" s="9"/>
      <c r="C33" s="44"/>
    </row>
    <row r="34" spans="1:3" ht="15.5" hidden="1">
      <c r="A34" s="9"/>
      <c r="B34" s="9"/>
      <c r="C34" s="44"/>
    </row>
    <row r="35" spans="1:3" ht="15.5" hidden="1">
      <c r="A35" s="9"/>
      <c r="B35" s="9"/>
      <c r="C35" s="44"/>
    </row>
    <row r="36" spans="1:3" ht="15.5" hidden="1">
      <c r="A36" s="9"/>
      <c r="B36" s="9"/>
      <c r="C36" s="44"/>
    </row>
    <row r="37" spans="1:3" ht="15.5" hidden="1">
      <c r="A37" s="9"/>
      <c r="B37" s="9"/>
      <c r="C37" s="44"/>
    </row>
    <row r="38" spans="1:3" ht="15.5" hidden="1">
      <c r="A38" s="9"/>
      <c r="B38" s="9"/>
      <c r="C38" s="44"/>
    </row>
    <row r="39" spans="1:3" ht="15.5" hidden="1">
      <c r="A39" s="9"/>
      <c r="B39" s="9"/>
      <c r="C39" s="44"/>
    </row>
    <row r="40" spans="1:3" ht="15.5" hidden="1">
      <c r="A40" s="9"/>
      <c r="B40" s="9"/>
      <c r="C40" s="44"/>
    </row>
    <row r="41" spans="1:3" ht="15.5" hidden="1">
      <c r="A41" s="9"/>
      <c r="B41" s="9"/>
      <c r="C41" s="44"/>
    </row>
    <row r="42" spans="1:3" ht="15.5" hidden="1">
      <c r="A42" s="9"/>
      <c r="B42" s="9"/>
      <c r="C42" s="44"/>
    </row>
    <row r="43" spans="1:3" ht="15.5" hidden="1">
      <c r="A43" s="9"/>
      <c r="B43" s="9"/>
      <c r="C43" s="44"/>
    </row>
    <row r="44" spans="1:3" ht="15.5" hidden="1">
      <c r="A44" s="9"/>
      <c r="B44" s="9"/>
      <c r="C44" s="44"/>
    </row>
    <row r="45" spans="1:3" hidden="1">
      <c r="C45" s="10"/>
    </row>
    <row r="46" spans="1:3" hidden="1">
      <c r="C46" s="10"/>
    </row>
    <row r="47" spans="1:3" hidden="1">
      <c r="C47" s="10"/>
    </row>
    <row r="48" spans="1:3" hidden="1">
      <c r="C48" s="10"/>
    </row>
    <row r="49" spans="3:3" hidden="1">
      <c r="C49" s="10"/>
    </row>
    <row r="50" spans="3:3" hidden="1">
      <c r="C50" s="10"/>
    </row>
    <row r="51" spans="3:3" hidden="1">
      <c r="C51" s="10"/>
    </row>
    <row r="52" spans="3:3" hidden="1">
      <c r="C52" s="10"/>
    </row>
    <row r="53" spans="3:3" hidden="1">
      <c r="C53" s="10"/>
    </row>
    <row r="54" spans="3:3" hidden="1">
      <c r="C54" s="10"/>
    </row>
    <row r="55" spans="3:3" hidden="1">
      <c r="C55" s="10"/>
    </row>
    <row r="56" spans="3:3" hidden="1">
      <c r="C56" s="10"/>
    </row>
    <row r="57" spans="3:3" hidden="1">
      <c r="C57" s="10"/>
    </row>
    <row r="58" spans="3:3" hidden="1">
      <c r="C58" s="10"/>
    </row>
    <row r="59" spans="3:3" hidden="1">
      <c r="C59" s="10"/>
    </row>
    <row r="60" spans="3:3" hidden="1">
      <c r="C60" s="10"/>
    </row>
    <row r="61" spans="3:3" hidden="1">
      <c r="C61" s="10"/>
    </row>
    <row r="62" spans="3:3" hidden="1">
      <c r="C62" s="10"/>
    </row>
    <row r="63" spans="3:3" hidden="1">
      <c r="C63" s="10"/>
    </row>
    <row r="64" spans="3:3" hidden="1">
      <c r="C64" s="10"/>
    </row>
    <row r="65" spans="3:3" hidden="1">
      <c r="C65" s="10"/>
    </row>
    <row r="66" spans="3:3" hidden="1">
      <c r="C66" s="10"/>
    </row>
    <row r="67" spans="3:3" hidden="1">
      <c r="C67" s="10"/>
    </row>
    <row r="68" spans="3:3" hidden="1">
      <c r="C68" s="10"/>
    </row>
    <row r="69" spans="3:3" hidden="1">
      <c r="C69" s="10"/>
    </row>
    <row r="70" spans="3:3" hidden="1">
      <c r="C70" s="10"/>
    </row>
    <row r="71" spans="3:3" hidden="1">
      <c r="C71" s="10"/>
    </row>
    <row r="72" spans="3:3" hidden="1">
      <c r="C72" s="10"/>
    </row>
    <row r="73" spans="3:3" hidden="1">
      <c r="C73" s="10"/>
    </row>
    <row r="74" spans="3:3" hidden="1">
      <c r="C74" s="10"/>
    </row>
    <row r="75" spans="3:3" hidden="1">
      <c r="C75" s="10"/>
    </row>
    <row r="76" spans="3:3" hidden="1">
      <c r="C76" s="10"/>
    </row>
    <row r="77" spans="3:3" hidden="1">
      <c r="C77" s="10"/>
    </row>
    <row r="78" spans="3:3" hidden="1">
      <c r="C78" s="10"/>
    </row>
    <row r="79" spans="3:3" hidden="1">
      <c r="C79" s="10"/>
    </row>
    <row r="80" spans="3:3" hidden="1">
      <c r="C80" s="10"/>
    </row>
    <row r="81" spans="3:3" hidden="1">
      <c r="C81" s="10"/>
    </row>
    <row r="82" spans="3:3" hidden="1">
      <c r="C82" s="10"/>
    </row>
    <row r="83" spans="3:3" hidden="1">
      <c r="C83" s="10"/>
    </row>
    <row r="84" spans="3:3" hidden="1">
      <c r="C84" s="10"/>
    </row>
    <row r="85" spans="3:3" hidden="1">
      <c r="C85" s="10"/>
    </row>
    <row r="86" spans="3:3" hidden="1">
      <c r="C86" s="10"/>
    </row>
    <row r="87" spans="3:3" hidden="1">
      <c r="C87" s="10"/>
    </row>
    <row r="88" spans="3:3" hidden="1">
      <c r="C88" s="10"/>
    </row>
    <row r="89" spans="3:3" hidden="1">
      <c r="C89" s="10"/>
    </row>
    <row r="90" spans="3:3" hidden="1">
      <c r="C90" s="10"/>
    </row>
    <row r="91" spans="3:3" hidden="1">
      <c r="C91" s="10"/>
    </row>
    <row r="92" spans="3:3" hidden="1">
      <c r="C92" s="10"/>
    </row>
    <row r="93" spans="3:3" hidden="1">
      <c r="C93" s="10"/>
    </row>
    <row r="94" spans="3:3" hidden="1">
      <c r="C94" s="10"/>
    </row>
    <row r="95" spans="3:3" hidden="1">
      <c r="C95" s="10"/>
    </row>
    <row r="96" spans="3:3" hidden="1">
      <c r="C96" s="10"/>
    </row>
    <row r="97" spans="3:3" hidden="1">
      <c r="C97" s="10"/>
    </row>
    <row r="98" spans="3:3" hidden="1">
      <c r="C98" s="10"/>
    </row>
    <row r="99" spans="3:3" hidden="1">
      <c r="C99" s="10"/>
    </row>
    <row r="100" spans="3:3" hidden="1">
      <c r="C100" s="10"/>
    </row>
    <row r="101" spans="3:3" hidden="1">
      <c r="C101" s="10"/>
    </row>
    <row r="102" spans="3:3" hidden="1">
      <c r="C102" s="10"/>
    </row>
    <row r="103" spans="3:3" hidden="1">
      <c r="C103" s="10"/>
    </row>
    <row r="104" spans="3:3" hidden="1">
      <c r="C104" s="10"/>
    </row>
    <row r="105" spans="3:3" hidden="1">
      <c r="C105" s="10"/>
    </row>
    <row r="106" spans="3:3" hidden="1">
      <c r="C106" s="10"/>
    </row>
    <row r="107" spans="3:3" hidden="1">
      <c r="C107" s="10"/>
    </row>
    <row r="108" spans="3:3" hidden="1">
      <c r="C108" s="10"/>
    </row>
    <row r="109" spans="3:3" hidden="1">
      <c r="C109" s="10"/>
    </row>
    <row r="110" spans="3:3" hidden="1">
      <c r="C110" s="10"/>
    </row>
    <row r="111" spans="3:3" hidden="1">
      <c r="C111" s="10"/>
    </row>
    <row r="112" spans="3:3" hidden="1">
      <c r="C112" s="10"/>
    </row>
    <row r="113" spans="3:3" hidden="1">
      <c r="C113" s="10"/>
    </row>
    <row r="114" spans="3:3" hidden="1">
      <c r="C114" s="10"/>
    </row>
    <row r="115" spans="3:3" hidden="1">
      <c r="C115" s="10"/>
    </row>
    <row r="116" spans="3:3" hidden="1">
      <c r="C116" s="10"/>
    </row>
    <row r="117" spans="3:3" hidden="1">
      <c r="C117" s="10"/>
    </row>
    <row r="118" spans="3:3" hidden="1">
      <c r="C118" s="10"/>
    </row>
    <row r="119" spans="3:3" hidden="1">
      <c r="C119" s="10"/>
    </row>
    <row r="120" spans="3:3" hidden="1">
      <c r="C120" s="10"/>
    </row>
    <row r="121" spans="3:3" hidden="1">
      <c r="C121" s="10"/>
    </row>
    <row r="122" spans="3:3" hidden="1">
      <c r="C122" s="10"/>
    </row>
    <row r="123" spans="3:3" hidden="1">
      <c r="C123" s="10"/>
    </row>
    <row r="124" spans="3:3" hidden="1">
      <c r="C124" s="10"/>
    </row>
    <row r="125" spans="3:3" hidden="1">
      <c r="C125" s="10"/>
    </row>
    <row r="126" spans="3:3" hidden="1">
      <c r="C126" s="10"/>
    </row>
    <row r="127" spans="3:3" hidden="1">
      <c r="C127" s="10"/>
    </row>
    <row r="128" spans="3:3" hidden="1">
      <c r="C128" s="10"/>
    </row>
    <row r="129" spans="3:3" hidden="1">
      <c r="C129" s="10"/>
    </row>
    <row r="130" spans="3:3" hidden="1">
      <c r="C130" s="10"/>
    </row>
    <row r="131" spans="3:3" hidden="1">
      <c r="C131" s="10"/>
    </row>
    <row r="132" spans="3:3" hidden="1">
      <c r="C132" s="10"/>
    </row>
    <row r="133" spans="3:3" hidden="1">
      <c r="C133" s="10"/>
    </row>
    <row r="134" spans="3:3" hidden="1">
      <c r="C134" s="10"/>
    </row>
    <row r="135" spans="3:3" hidden="1">
      <c r="C135" s="10"/>
    </row>
    <row r="136" spans="3:3" hidden="1">
      <c r="C136" s="10"/>
    </row>
    <row r="137" spans="3:3" hidden="1">
      <c r="C137" s="10"/>
    </row>
    <row r="138" spans="3:3" hidden="1">
      <c r="C138" s="10"/>
    </row>
    <row r="139" spans="3:3" hidden="1">
      <c r="C139" s="10"/>
    </row>
    <row r="140" spans="3:3" hidden="1">
      <c r="C140" s="10"/>
    </row>
    <row r="141" spans="3:3" hidden="1">
      <c r="C141" s="10"/>
    </row>
    <row r="142" spans="3:3" hidden="1">
      <c r="C142" s="10"/>
    </row>
    <row r="143" spans="3:3" hidden="1">
      <c r="C143" s="10"/>
    </row>
    <row r="144" spans="3:3" hidden="1">
      <c r="C144" s="10"/>
    </row>
    <row r="145" spans="3:3" hidden="1">
      <c r="C145" s="10"/>
    </row>
    <row r="146" spans="3:3" hidden="1">
      <c r="C146" s="10"/>
    </row>
    <row r="147" spans="3:3" hidden="1">
      <c r="C147" s="10"/>
    </row>
    <row r="148" spans="3:3" hidden="1">
      <c r="C148" s="10"/>
    </row>
    <row r="149" spans="3:3" hidden="1">
      <c r="C149" s="10"/>
    </row>
    <row r="150" spans="3:3" hidden="1">
      <c r="C150" s="10"/>
    </row>
    <row r="151" spans="3:3" hidden="1">
      <c r="C151" s="10"/>
    </row>
    <row r="152" spans="3:3" hidden="1">
      <c r="C152" s="10"/>
    </row>
    <row r="153" spans="3:3" hidden="1">
      <c r="C153" s="10"/>
    </row>
    <row r="154" spans="3:3" hidden="1">
      <c r="C154" s="10"/>
    </row>
    <row r="155" spans="3:3" hidden="1">
      <c r="C155" s="10"/>
    </row>
    <row r="156" spans="3:3" hidden="1">
      <c r="C156" s="10"/>
    </row>
    <row r="157" spans="3:3" hidden="1">
      <c r="C157" s="10"/>
    </row>
    <row r="158" spans="3:3" hidden="1">
      <c r="C158" s="10"/>
    </row>
    <row r="159" spans="3:3" hidden="1">
      <c r="C159" s="10"/>
    </row>
    <row r="160" spans="3:3" hidden="1">
      <c r="C160" s="10"/>
    </row>
    <row r="161" spans="3:3" hidden="1">
      <c r="C161" s="10"/>
    </row>
    <row r="162" spans="3:3" hidden="1">
      <c r="C162" s="10"/>
    </row>
    <row r="163" spans="3:3" hidden="1">
      <c r="C163" s="10"/>
    </row>
    <row r="164" spans="3:3" hidden="1">
      <c r="C164" s="10"/>
    </row>
    <row r="165" spans="3:3" hidden="1">
      <c r="C165" s="10"/>
    </row>
    <row r="166" spans="3:3" hidden="1">
      <c r="C166" s="10"/>
    </row>
    <row r="167" spans="3:3" hidden="1">
      <c r="C167" s="10"/>
    </row>
    <row r="168" spans="3:3" hidden="1">
      <c r="C168" s="10"/>
    </row>
    <row r="169" spans="3:3" hidden="1">
      <c r="C169" s="10"/>
    </row>
    <row r="170" spans="3:3" hidden="1">
      <c r="C170" s="10"/>
    </row>
    <row r="171" spans="3:3" hidden="1">
      <c r="C171" s="10"/>
    </row>
    <row r="172" spans="3:3" hidden="1">
      <c r="C172" s="10"/>
    </row>
    <row r="173" spans="3:3" hidden="1">
      <c r="C173" s="10"/>
    </row>
    <row r="174" spans="3:3" hidden="1">
      <c r="C174" s="10"/>
    </row>
    <row r="175" spans="3:3" hidden="1">
      <c r="C175" s="10"/>
    </row>
    <row r="176" spans="3:3" hidden="1">
      <c r="C176" s="10"/>
    </row>
    <row r="177" spans="3:3" hidden="1">
      <c r="C177" s="10"/>
    </row>
    <row r="178" spans="3:3" hidden="1">
      <c r="C178" s="10"/>
    </row>
    <row r="179" spans="3:3" hidden="1">
      <c r="C179" s="10"/>
    </row>
    <row r="180" spans="3:3" hidden="1">
      <c r="C180" s="10"/>
    </row>
    <row r="181" spans="3:3" hidden="1">
      <c r="C181" s="10"/>
    </row>
    <row r="182" spans="3:3" hidden="1">
      <c r="C182" s="10"/>
    </row>
    <row r="183" spans="3:3" hidden="1">
      <c r="C183" s="10"/>
    </row>
    <row r="184" spans="3:3" hidden="1">
      <c r="C184" s="10"/>
    </row>
    <row r="185" spans="3:3" hidden="1">
      <c r="C185" s="10"/>
    </row>
    <row r="186" spans="3:3" hidden="1">
      <c r="C186" s="10"/>
    </row>
    <row r="187" spans="3:3" hidden="1">
      <c r="C187" s="10"/>
    </row>
    <row r="188" spans="3:3" hidden="1">
      <c r="C188" s="10"/>
    </row>
    <row r="189" spans="3:3" hidden="1">
      <c r="C189" s="10"/>
    </row>
    <row r="190" spans="3:3" hidden="1">
      <c r="C190" s="10"/>
    </row>
    <row r="191" spans="3:3" hidden="1">
      <c r="C191" s="10"/>
    </row>
    <row r="192" spans="3:3" hidden="1">
      <c r="C192" s="10"/>
    </row>
    <row r="193" spans="3:3" hidden="1">
      <c r="C193" s="10"/>
    </row>
    <row r="194" spans="3:3" hidden="1">
      <c r="C194" s="10"/>
    </row>
    <row r="195" spans="3:3" hidden="1">
      <c r="C195" s="10"/>
    </row>
    <row r="196" spans="3:3" hidden="1">
      <c r="C196" s="10"/>
    </row>
    <row r="197" spans="3:3" hidden="1">
      <c r="C197" s="10"/>
    </row>
    <row r="198" spans="3:3" hidden="1">
      <c r="C198" s="10"/>
    </row>
    <row r="199" spans="3:3" hidden="1">
      <c r="C199" s="10"/>
    </row>
    <row r="200" spans="3:3" hidden="1">
      <c r="C200" s="10"/>
    </row>
    <row r="201" spans="3:3" hidden="1">
      <c r="C201" s="10"/>
    </row>
    <row r="202" spans="3:3" hidden="1">
      <c r="C202" s="10"/>
    </row>
    <row r="203" spans="3:3" hidden="1">
      <c r="C203" s="10"/>
    </row>
    <row r="204" spans="3:3" hidden="1">
      <c r="C204" s="10"/>
    </row>
    <row r="205" spans="3:3" hidden="1">
      <c r="C205" s="10"/>
    </row>
    <row r="206" spans="3:3" hidden="1">
      <c r="C206" s="10"/>
    </row>
    <row r="207" spans="3:3" hidden="1">
      <c r="C207" s="10"/>
    </row>
    <row r="208" spans="3:3" hidden="1">
      <c r="C208" s="10"/>
    </row>
    <row r="209" spans="3:3" hidden="1">
      <c r="C209" s="10"/>
    </row>
    <row r="210" spans="3:3" hidden="1">
      <c r="C210" s="10"/>
    </row>
    <row r="211" spans="3:3" hidden="1">
      <c r="C211" s="10"/>
    </row>
    <row r="212" spans="3:3" hidden="1">
      <c r="C212" s="10"/>
    </row>
    <row r="213" spans="3:3" hidden="1">
      <c r="C213" s="10"/>
    </row>
    <row r="214" spans="3:3" hidden="1">
      <c r="C214" s="10"/>
    </row>
    <row r="215" spans="3:3" hidden="1">
      <c r="C215" s="10"/>
    </row>
    <row r="216" spans="3:3" hidden="1">
      <c r="C216" s="10"/>
    </row>
    <row r="217" spans="3:3" hidden="1">
      <c r="C217" s="10"/>
    </row>
    <row r="218" spans="3:3" hidden="1">
      <c r="C218" s="10"/>
    </row>
    <row r="219" spans="3:3" hidden="1">
      <c r="C219" s="10"/>
    </row>
    <row r="220" spans="3:3" hidden="1">
      <c r="C220" s="10"/>
    </row>
    <row r="221" spans="3:3" hidden="1">
      <c r="C221" s="10"/>
    </row>
    <row r="222" spans="3:3" hidden="1">
      <c r="C222" s="10"/>
    </row>
    <row r="223" spans="3:3" hidden="1">
      <c r="C223" s="10"/>
    </row>
    <row r="224" spans="3:3" hidden="1">
      <c r="C224" s="10"/>
    </row>
    <row r="225" spans="3:3" hidden="1">
      <c r="C225" s="10"/>
    </row>
    <row r="226" spans="3:3" hidden="1">
      <c r="C226" s="10"/>
    </row>
    <row r="227" spans="3:3" hidden="1">
      <c r="C227" s="10"/>
    </row>
    <row r="228" spans="3:3" hidden="1">
      <c r="C228" s="10"/>
    </row>
    <row r="229" spans="3:3" hidden="1">
      <c r="C229" s="10"/>
    </row>
    <row r="230" spans="3:3" hidden="1">
      <c r="C230" s="10"/>
    </row>
    <row r="231" spans="3:3" hidden="1">
      <c r="C231" s="10"/>
    </row>
    <row r="232" spans="3:3" hidden="1">
      <c r="C232" s="10"/>
    </row>
    <row r="233" spans="3:3" hidden="1">
      <c r="C233" s="10"/>
    </row>
    <row r="234" spans="3:3" hidden="1">
      <c r="C234" s="10"/>
    </row>
    <row r="235" spans="3:3" hidden="1">
      <c r="C235" s="10"/>
    </row>
    <row r="236" spans="3:3" hidden="1">
      <c r="C236" s="10"/>
    </row>
    <row r="237" spans="3:3" hidden="1">
      <c r="C237" s="10"/>
    </row>
    <row r="238" spans="3:3" hidden="1">
      <c r="C238" s="10"/>
    </row>
    <row r="239" spans="3:3" hidden="1">
      <c r="C239" s="10"/>
    </row>
    <row r="240" spans="3:3" hidden="1">
      <c r="C240" s="10"/>
    </row>
    <row r="241" spans="3:3" hidden="1">
      <c r="C241" s="10"/>
    </row>
    <row r="242" spans="3:3" hidden="1">
      <c r="C242" s="10"/>
    </row>
    <row r="243" spans="3:3" hidden="1">
      <c r="C243" s="10"/>
    </row>
    <row r="244" spans="3:3" hidden="1">
      <c r="C244" s="10"/>
    </row>
    <row r="245" spans="3:3" hidden="1">
      <c r="C245" s="10"/>
    </row>
    <row r="246" spans="3:3" hidden="1">
      <c r="C246" s="10"/>
    </row>
    <row r="247" spans="3:3" hidden="1">
      <c r="C247" s="10"/>
    </row>
    <row r="248" spans="3:3" hidden="1">
      <c r="C248" s="10"/>
    </row>
    <row r="249" spans="3:3" hidden="1">
      <c r="C249" s="10"/>
    </row>
    <row r="250" spans="3:3" hidden="1">
      <c r="C250" s="10"/>
    </row>
    <row r="251" spans="3:3" hidden="1">
      <c r="C251" s="10"/>
    </row>
    <row r="252" spans="3:3" hidden="1">
      <c r="C252" s="10"/>
    </row>
    <row r="253" spans="3:3" hidden="1">
      <c r="C253" s="10"/>
    </row>
    <row r="254" spans="3:3" hidden="1">
      <c r="C254" s="10"/>
    </row>
    <row r="255" spans="3:3" hidden="1">
      <c r="C255" s="10"/>
    </row>
    <row r="256" spans="3:3" hidden="1">
      <c r="C256" s="10"/>
    </row>
    <row r="257" spans="3:3" hidden="1">
      <c r="C257" s="10"/>
    </row>
    <row r="258" spans="3:3" hidden="1">
      <c r="C258" s="10"/>
    </row>
    <row r="259" spans="3:3" hidden="1">
      <c r="C259" s="10"/>
    </row>
    <row r="260" spans="3:3" hidden="1">
      <c r="C260" s="10"/>
    </row>
    <row r="261" spans="3:3" hidden="1">
      <c r="C261" s="10"/>
    </row>
    <row r="262" spans="3:3" hidden="1">
      <c r="C262" s="10"/>
    </row>
    <row r="263" spans="3:3" hidden="1">
      <c r="C263" s="10"/>
    </row>
    <row r="264" spans="3:3" hidden="1">
      <c r="C264" s="10"/>
    </row>
    <row r="265" spans="3:3" hidden="1">
      <c r="C265" s="10"/>
    </row>
    <row r="266" spans="3:3" hidden="1">
      <c r="C266" s="10"/>
    </row>
    <row r="267" spans="3:3" hidden="1">
      <c r="C267" s="10"/>
    </row>
    <row r="268" spans="3:3" hidden="1">
      <c r="C268" s="10"/>
    </row>
    <row r="269" spans="3:3" hidden="1">
      <c r="C269" s="10"/>
    </row>
    <row r="270" spans="3:3" hidden="1">
      <c r="C270" s="10"/>
    </row>
    <row r="271" spans="3:3" hidden="1">
      <c r="C271" s="10"/>
    </row>
    <row r="272" spans="3:3" hidden="1">
      <c r="C272" s="10"/>
    </row>
    <row r="273" spans="3:3" hidden="1">
      <c r="C273" s="10"/>
    </row>
    <row r="274" spans="3:3" hidden="1">
      <c r="C274" s="10"/>
    </row>
    <row r="275" spans="3:3" hidden="1">
      <c r="C275" s="10"/>
    </row>
    <row r="276" spans="3:3" hidden="1">
      <c r="C276" s="10"/>
    </row>
    <row r="277" spans="3:3" hidden="1">
      <c r="C277" s="10"/>
    </row>
    <row r="278" spans="3:3" hidden="1">
      <c r="C278" s="10"/>
    </row>
    <row r="279" spans="3:3" hidden="1">
      <c r="C279" s="10"/>
    </row>
    <row r="280" spans="3:3" hidden="1">
      <c r="C280" s="10"/>
    </row>
    <row r="281" spans="3:3" hidden="1">
      <c r="C281" s="10"/>
    </row>
    <row r="282" spans="3:3" hidden="1">
      <c r="C282" s="10"/>
    </row>
    <row r="283" spans="3:3" hidden="1">
      <c r="C283" s="10"/>
    </row>
    <row r="284" spans="3:3" hidden="1">
      <c r="C284" s="10"/>
    </row>
    <row r="285" spans="3:3" hidden="1">
      <c r="C285" s="10"/>
    </row>
    <row r="286" spans="3:3" hidden="1">
      <c r="C286" s="10"/>
    </row>
    <row r="287" spans="3:3" hidden="1">
      <c r="C287" s="10"/>
    </row>
    <row r="288" spans="3:3" hidden="1">
      <c r="C288" s="10"/>
    </row>
    <row r="289" spans="3:3" hidden="1">
      <c r="C289" s="10"/>
    </row>
    <row r="290" spans="3:3" hidden="1">
      <c r="C290" s="10"/>
    </row>
    <row r="291" spans="3:3" hidden="1">
      <c r="C291" s="10"/>
    </row>
    <row r="292" spans="3:3" hidden="1">
      <c r="C292" s="10"/>
    </row>
    <row r="293" spans="3:3" hidden="1">
      <c r="C293" s="10"/>
    </row>
    <row r="294" spans="3:3" hidden="1">
      <c r="C294" s="10"/>
    </row>
    <row r="295" spans="3:3" hidden="1">
      <c r="C295" s="10"/>
    </row>
    <row r="296" spans="3:3" hidden="1">
      <c r="C296" s="10"/>
    </row>
    <row r="297" spans="3:3" hidden="1">
      <c r="C297" s="10"/>
    </row>
    <row r="298" spans="3:3" hidden="1">
      <c r="C298" s="10"/>
    </row>
    <row r="299" spans="3:3" hidden="1">
      <c r="C299" s="10"/>
    </row>
    <row r="300" spans="3:3" hidden="1">
      <c r="C300" s="10"/>
    </row>
    <row r="301" spans="3:3" hidden="1">
      <c r="C301" s="10"/>
    </row>
    <row r="302" spans="3:3" hidden="1">
      <c r="C302" s="10"/>
    </row>
    <row r="303" spans="3:3" hidden="1">
      <c r="C303" s="10"/>
    </row>
    <row r="304" spans="3:3" hidden="1">
      <c r="C304" s="10"/>
    </row>
    <row r="305" spans="3:3" hidden="1">
      <c r="C305" s="10"/>
    </row>
    <row r="306" spans="3:3" hidden="1">
      <c r="C306" s="10"/>
    </row>
    <row r="307" spans="3:3" hidden="1">
      <c r="C307" s="10"/>
    </row>
    <row r="308" spans="3:3" hidden="1">
      <c r="C308" s="10"/>
    </row>
    <row r="309" spans="3:3" hidden="1">
      <c r="C309" s="10"/>
    </row>
    <row r="310" spans="3:3" hidden="1">
      <c r="C310" s="10"/>
    </row>
    <row r="311" spans="3:3" hidden="1">
      <c r="C311" s="10"/>
    </row>
    <row r="312" spans="3:3" hidden="1">
      <c r="C312" s="10"/>
    </row>
    <row r="313" spans="3:3" hidden="1">
      <c r="C313" s="10"/>
    </row>
    <row r="314" spans="3:3" hidden="1">
      <c r="C314" s="10"/>
    </row>
    <row r="315" spans="3:3" hidden="1">
      <c r="C315" s="10"/>
    </row>
    <row r="316" spans="3:3" hidden="1">
      <c r="C316" s="10"/>
    </row>
    <row r="317" spans="3:3" hidden="1">
      <c r="C317" s="10"/>
    </row>
    <row r="318" spans="3:3" hidden="1">
      <c r="C318" s="10"/>
    </row>
    <row r="319" spans="3:3" hidden="1">
      <c r="C319" s="10"/>
    </row>
    <row r="320" spans="3:3" hidden="1">
      <c r="C320" s="10"/>
    </row>
    <row r="321" spans="3:3" hidden="1">
      <c r="C321" s="10"/>
    </row>
    <row r="322" spans="3:3" hidden="1">
      <c r="C322" s="10"/>
    </row>
    <row r="323" spans="3:3" hidden="1">
      <c r="C323" s="10"/>
    </row>
    <row r="324" spans="3:3" hidden="1">
      <c r="C324" s="10"/>
    </row>
    <row r="325" spans="3:3" hidden="1">
      <c r="C325" s="10"/>
    </row>
    <row r="326" spans="3:3" hidden="1">
      <c r="C326" s="10"/>
    </row>
    <row r="327" spans="3:3" hidden="1">
      <c r="C327" s="10"/>
    </row>
    <row r="328" spans="3:3" hidden="1">
      <c r="C328" s="10"/>
    </row>
    <row r="329" spans="3:3" hidden="1">
      <c r="C329" s="10"/>
    </row>
    <row r="330" spans="3:3" hidden="1">
      <c r="C330" s="10"/>
    </row>
    <row r="331" spans="3:3" hidden="1">
      <c r="C331" s="10"/>
    </row>
    <row r="332" spans="3:3" hidden="1">
      <c r="C332" s="10"/>
    </row>
    <row r="333" spans="3:3" hidden="1">
      <c r="C333" s="10"/>
    </row>
    <row r="334" spans="3:3" hidden="1">
      <c r="C334" s="10"/>
    </row>
    <row r="335" spans="3:3" hidden="1">
      <c r="C335" s="10"/>
    </row>
    <row r="336" spans="3:3" hidden="1">
      <c r="C336" s="10"/>
    </row>
    <row r="337" spans="3:3" hidden="1">
      <c r="C337" s="10"/>
    </row>
    <row r="338" spans="3:3" hidden="1">
      <c r="C338" s="10"/>
    </row>
    <row r="339" spans="3:3" hidden="1">
      <c r="C339" s="10"/>
    </row>
    <row r="340" spans="3:3" hidden="1">
      <c r="C340" s="10"/>
    </row>
    <row r="341" spans="3:3" hidden="1">
      <c r="C341" s="10"/>
    </row>
    <row r="342" spans="3:3" hidden="1">
      <c r="C342" s="10"/>
    </row>
    <row r="343" spans="3:3" hidden="1">
      <c r="C343" s="10"/>
    </row>
    <row r="344" spans="3:3" hidden="1">
      <c r="C344" s="10"/>
    </row>
    <row r="345" spans="3:3" hidden="1">
      <c r="C345" s="10"/>
    </row>
    <row r="346" spans="3:3" hidden="1">
      <c r="C346" s="10"/>
    </row>
    <row r="347" spans="3:3" hidden="1">
      <c r="C347" s="10"/>
    </row>
    <row r="348" spans="3:3" hidden="1">
      <c r="C348" s="10"/>
    </row>
    <row r="349" spans="3:3" hidden="1">
      <c r="C349" s="10"/>
    </row>
    <row r="350" spans="3:3" hidden="1">
      <c r="C350" s="10"/>
    </row>
    <row r="351" spans="3:3" hidden="1">
      <c r="C351" s="10"/>
    </row>
    <row r="352" spans="3:3" hidden="1">
      <c r="C352" s="10"/>
    </row>
    <row r="353" spans="3:3" hidden="1">
      <c r="C353" s="10"/>
    </row>
    <row r="354" spans="3:3" hidden="1">
      <c r="C354" s="10"/>
    </row>
    <row r="355" spans="3:3" hidden="1">
      <c r="C355" s="10"/>
    </row>
    <row r="356" spans="3:3" hidden="1">
      <c r="C356" s="10"/>
    </row>
    <row r="357" spans="3:3" hidden="1">
      <c r="C357" s="10"/>
    </row>
    <row r="358" spans="3:3" hidden="1">
      <c r="C358" s="10"/>
    </row>
    <row r="359" spans="3:3" hidden="1">
      <c r="C359" s="10"/>
    </row>
    <row r="360" spans="3:3" hidden="1">
      <c r="C360" s="10"/>
    </row>
    <row r="361" spans="3:3" hidden="1">
      <c r="C361" s="10"/>
    </row>
    <row r="362" spans="3:3" hidden="1">
      <c r="C362" s="10"/>
    </row>
    <row r="363" spans="3:3" hidden="1">
      <c r="C363" s="10"/>
    </row>
    <row r="364" spans="3:3" hidden="1">
      <c r="C364" s="10"/>
    </row>
    <row r="365" spans="3:3" hidden="1">
      <c r="C365" s="10"/>
    </row>
    <row r="366" spans="3:3" hidden="1">
      <c r="C366" s="10"/>
    </row>
    <row r="367" spans="3:3" hidden="1">
      <c r="C367" s="10"/>
    </row>
    <row r="368" spans="3:3" hidden="1">
      <c r="C368" s="10"/>
    </row>
    <row r="369" spans="3:3" hidden="1">
      <c r="C369" s="10"/>
    </row>
    <row r="370" spans="3:3" hidden="1">
      <c r="C370" s="10"/>
    </row>
    <row r="371" spans="3:3" hidden="1">
      <c r="C371" s="10"/>
    </row>
    <row r="372" spans="3:3" hidden="1">
      <c r="C372" s="10"/>
    </row>
    <row r="373" spans="3:3" hidden="1">
      <c r="C373" s="10"/>
    </row>
    <row r="374" spans="3:3" hidden="1">
      <c r="C374" s="10"/>
    </row>
    <row r="375" spans="3:3" hidden="1">
      <c r="C375" s="10"/>
    </row>
    <row r="376" spans="3:3" hidden="1">
      <c r="C376" s="10"/>
    </row>
    <row r="377" spans="3:3" hidden="1">
      <c r="C377" s="10"/>
    </row>
    <row r="378" spans="3:3" hidden="1">
      <c r="C378" s="10"/>
    </row>
    <row r="379" spans="3:3" hidden="1">
      <c r="C379" s="10"/>
    </row>
    <row r="380" spans="3:3" hidden="1">
      <c r="C380" s="10"/>
    </row>
    <row r="381" spans="3:3" hidden="1">
      <c r="C381" s="10"/>
    </row>
    <row r="382" spans="3:3" hidden="1">
      <c r="C382" s="10"/>
    </row>
    <row r="383" spans="3:3" hidden="1">
      <c r="C383" s="10"/>
    </row>
    <row r="384" spans="3:3" hidden="1">
      <c r="C384" s="10"/>
    </row>
    <row r="385" spans="3:3" hidden="1">
      <c r="C385" s="10"/>
    </row>
    <row r="386" spans="3:3" hidden="1">
      <c r="C386" s="10"/>
    </row>
    <row r="387" spans="3:3" hidden="1">
      <c r="C387" s="10"/>
    </row>
    <row r="388" spans="3:3" hidden="1">
      <c r="C388" s="10"/>
    </row>
    <row r="389" spans="3:3" hidden="1">
      <c r="C389" s="10"/>
    </row>
    <row r="390" spans="3:3" hidden="1">
      <c r="C390" s="10"/>
    </row>
    <row r="391" spans="3:3" hidden="1">
      <c r="C391" s="10"/>
    </row>
    <row r="392" spans="3:3" hidden="1">
      <c r="C392" s="10"/>
    </row>
    <row r="393" spans="3:3" hidden="1">
      <c r="C393" s="10"/>
    </row>
    <row r="394" spans="3:3" hidden="1">
      <c r="C394" s="10"/>
    </row>
    <row r="395" spans="3:3" hidden="1">
      <c r="C395" s="10"/>
    </row>
    <row r="396" spans="3:3" hidden="1">
      <c r="C396" s="10"/>
    </row>
    <row r="397" spans="3:3" hidden="1">
      <c r="C397" s="10"/>
    </row>
    <row r="398" spans="3:3" hidden="1">
      <c r="C398" s="10"/>
    </row>
    <row r="399" spans="3:3" hidden="1">
      <c r="C399" s="10"/>
    </row>
    <row r="400" spans="3:3" hidden="1">
      <c r="C400" s="10"/>
    </row>
    <row r="401" spans="3:3" hidden="1">
      <c r="C401" s="10"/>
    </row>
    <row r="402" spans="3:3" hidden="1">
      <c r="C402" s="10"/>
    </row>
    <row r="403" spans="3:3" hidden="1">
      <c r="C403" s="10"/>
    </row>
    <row r="404" spans="3:3" hidden="1">
      <c r="C404" s="10"/>
    </row>
    <row r="405" spans="3:3" hidden="1">
      <c r="C405" s="10"/>
    </row>
    <row r="406" spans="3:3" hidden="1">
      <c r="C406" s="10"/>
    </row>
    <row r="407" spans="3:3" hidden="1">
      <c r="C407" s="10"/>
    </row>
    <row r="408" spans="3:3" hidden="1">
      <c r="C408" s="10"/>
    </row>
    <row r="409" spans="3:3" hidden="1">
      <c r="C409" s="10"/>
    </row>
    <row r="410" spans="3:3" hidden="1">
      <c r="C410" s="10"/>
    </row>
    <row r="411" spans="3:3" hidden="1">
      <c r="C411" s="10"/>
    </row>
    <row r="412" spans="3:3" hidden="1">
      <c r="C412" s="10"/>
    </row>
    <row r="413" spans="3:3" hidden="1">
      <c r="C413" s="10"/>
    </row>
    <row r="414" spans="3:3" hidden="1">
      <c r="C414" s="10"/>
    </row>
    <row r="415" spans="3:3" hidden="1">
      <c r="C415" s="10"/>
    </row>
    <row r="416" spans="3:3" hidden="1">
      <c r="C416" s="10"/>
    </row>
    <row r="417" spans="3:3" hidden="1">
      <c r="C417" s="10"/>
    </row>
    <row r="418" spans="3:3" hidden="1">
      <c r="C418" s="10"/>
    </row>
    <row r="419" spans="3:3" hidden="1">
      <c r="C419" s="10"/>
    </row>
    <row r="420" spans="3:3" hidden="1">
      <c r="C420" s="10"/>
    </row>
    <row r="421" spans="3:3" hidden="1">
      <c r="C421" s="10"/>
    </row>
    <row r="422" spans="3:3" hidden="1">
      <c r="C422" s="10"/>
    </row>
    <row r="423" spans="3:3" hidden="1">
      <c r="C423" s="10"/>
    </row>
    <row r="424" spans="3:3" hidden="1">
      <c r="C424" s="10"/>
    </row>
    <row r="425" spans="3:3" hidden="1">
      <c r="C425" s="10"/>
    </row>
    <row r="426" spans="3:3" hidden="1">
      <c r="C426" s="10"/>
    </row>
    <row r="427" spans="3:3" hidden="1">
      <c r="C427" s="10"/>
    </row>
    <row r="428" spans="3:3" hidden="1">
      <c r="C428" s="10"/>
    </row>
    <row r="429" spans="3:3" hidden="1">
      <c r="C429" s="10"/>
    </row>
    <row r="430" spans="3:3" hidden="1">
      <c r="C430" s="10"/>
    </row>
    <row r="431" spans="3:3" hidden="1">
      <c r="C431" s="10"/>
    </row>
    <row r="432" spans="3:3" hidden="1">
      <c r="C432" s="10"/>
    </row>
    <row r="433" spans="3:3" hidden="1">
      <c r="C433" s="10"/>
    </row>
    <row r="434" spans="3:3" hidden="1">
      <c r="C434" s="10"/>
    </row>
    <row r="435" spans="3:3" hidden="1">
      <c r="C435" s="10"/>
    </row>
    <row r="436" spans="3:3" hidden="1">
      <c r="C436" s="10"/>
    </row>
    <row r="437" spans="3:3" hidden="1">
      <c r="C437" s="10"/>
    </row>
    <row r="438" spans="3:3" hidden="1">
      <c r="C438" s="10"/>
    </row>
    <row r="439" spans="3:3" hidden="1">
      <c r="C439" s="10"/>
    </row>
    <row r="440" spans="3:3" hidden="1">
      <c r="C440" s="10"/>
    </row>
    <row r="441" spans="3:3" hidden="1">
      <c r="C441" s="10"/>
    </row>
    <row r="442" spans="3:3" hidden="1">
      <c r="C442" s="10"/>
    </row>
    <row r="443" spans="3:3" hidden="1">
      <c r="C443" s="10"/>
    </row>
    <row r="444" spans="3:3" hidden="1">
      <c r="C444" s="10"/>
    </row>
    <row r="445" spans="3:3" hidden="1">
      <c r="C445" s="10"/>
    </row>
    <row r="446" spans="3:3" hidden="1">
      <c r="C446" s="10"/>
    </row>
    <row r="447" spans="3:3" hidden="1">
      <c r="C447" s="10"/>
    </row>
    <row r="448" spans="3:3" hidden="1">
      <c r="C448" s="10"/>
    </row>
    <row r="449" spans="3:3" hidden="1">
      <c r="C449" s="10"/>
    </row>
    <row r="450" spans="3:3" hidden="1">
      <c r="C450" s="10"/>
    </row>
    <row r="451" spans="3:3" hidden="1">
      <c r="C451" s="10"/>
    </row>
    <row r="452" spans="3:3" hidden="1">
      <c r="C452" s="10"/>
    </row>
    <row r="453" spans="3:3" hidden="1">
      <c r="C453" s="10"/>
    </row>
    <row r="454" spans="3:3" hidden="1">
      <c r="C454" s="10"/>
    </row>
    <row r="455" spans="3:3" hidden="1">
      <c r="C455" s="10"/>
    </row>
    <row r="456" spans="3:3" hidden="1">
      <c r="C456" s="10"/>
    </row>
    <row r="457" spans="3:3" hidden="1">
      <c r="C457" s="10"/>
    </row>
    <row r="458" spans="3:3" hidden="1">
      <c r="C458" s="10"/>
    </row>
    <row r="459" spans="3:3" hidden="1">
      <c r="C459" s="10"/>
    </row>
    <row r="460" spans="3:3" hidden="1">
      <c r="C460" s="10"/>
    </row>
    <row r="461" spans="3:3" hidden="1">
      <c r="C461" s="10"/>
    </row>
    <row r="462" spans="3:3" hidden="1">
      <c r="C462" s="10"/>
    </row>
    <row r="463" spans="3:3" hidden="1">
      <c r="C463" s="10"/>
    </row>
    <row r="464" spans="3:3" hidden="1">
      <c r="C464" s="10"/>
    </row>
    <row r="465" spans="3:3" hidden="1">
      <c r="C465" s="10"/>
    </row>
    <row r="466" spans="3:3" hidden="1">
      <c r="C466" s="10"/>
    </row>
    <row r="467" spans="3:3" hidden="1">
      <c r="C467" s="10"/>
    </row>
    <row r="468" spans="3:3" hidden="1">
      <c r="C468" s="10"/>
    </row>
    <row r="469" spans="3:3" hidden="1">
      <c r="C469" s="10"/>
    </row>
    <row r="470" spans="3:3" hidden="1">
      <c r="C470" s="10"/>
    </row>
    <row r="471" spans="3:3" hidden="1">
      <c r="C471" s="10"/>
    </row>
    <row r="472" spans="3:3" hidden="1">
      <c r="C472" s="10"/>
    </row>
    <row r="473" spans="3:3" hidden="1">
      <c r="C473" s="10"/>
    </row>
    <row r="474" spans="3:3" hidden="1">
      <c r="C474" s="10"/>
    </row>
    <row r="475" spans="3:3" hidden="1">
      <c r="C475" s="10"/>
    </row>
    <row r="476" spans="3:3" hidden="1">
      <c r="C476" s="10"/>
    </row>
    <row r="477" spans="3:3" hidden="1">
      <c r="C477" s="10"/>
    </row>
    <row r="478" spans="3:3" hidden="1">
      <c r="C478" s="10"/>
    </row>
    <row r="479" spans="3:3" hidden="1">
      <c r="C479" s="10"/>
    </row>
    <row r="480" spans="3:3" hidden="1">
      <c r="C480" s="10"/>
    </row>
    <row r="481" spans="3:3" hidden="1">
      <c r="C481" s="10"/>
    </row>
    <row r="482" spans="3:3" hidden="1">
      <c r="C482" s="10"/>
    </row>
    <row r="483" spans="3:3" hidden="1">
      <c r="C483" s="10"/>
    </row>
    <row r="484" spans="3:3" hidden="1">
      <c r="C484" s="10"/>
    </row>
    <row r="485" spans="3:3" hidden="1">
      <c r="C485" s="10"/>
    </row>
    <row r="486" spans="3:3" hidden="1">
      <c r="C486" s="10"/>
    </row>
    <row r="487" spans="3:3" hidden="1">
      <c r="C487" s="10"/>
    </row>
    <row r="488" spans="3:3" hidden="1">
      <c r="C488" s="10"/>
    </row>
    <row r="489" spans="3:3" hidden="1">
      <c r="C489" s="10"/>
    </row>
    <row r="490" spans="3:3" hidden="1">
      <c r="C490" s="10"/>
    </row>
    <row r="491" spans="3:3" hidden="1">
      <c r="C491" s="10"/>
    </row>
    <row r="492" spans="3:3" hidden="1">
      <c r="C492" s="10"/>
    </row>
    <row r="493" spans="3:3" hidden="1">
      <c r="C493" s="10"/>
    </row>
    <row r="494" spans="3:3" hidden="1">
      <c r="C494" s="10"/>
    </row>
    <row r="495" spans="3:3" hidden="1">
      <c r="C495" s="10"/>
    </row>
    <row r="496" spans="3:3" hidden="1">
      <c r="C496" s="10"/>
    </row>
    <row r="497" spans="3:3" hidden="1">
      <c r="C497" s="10"/>
    </row>
    <row r="498" spans="3:3" hidden="1">
      <c r="C498" s="10"/>
    </row>
    <row r="499" spans="3:3" hidden="1">
      <c r="C499" s="10"/>
    </row>
    <row r="500" spans="3:3" hidden="1">
      <c r="C500" s="10"/>
    </row>
    <row r="501" spans="3:3" hidden="1">
      <c r="C501" s="10"/>
    </row>
    <row r="502" spans="3:3" hidden="1">
      <c r="C502" s="10"/>
    </row>
    <row r="503" spans="3:3" hidden="1">
      <c r="C503" s="10"/>
    </row>
    <row r="504" spans="3:3" hidden="1">
      <c r="C504" s="10"/>
    </row>
    <row r="505" spans="3:3" hidden="1">
      <c r="C505" s="10"/>
    </row>
    <row r="506" spans="3:3" hidden="1">
      <c r="C506" s="10"/>
    </row>
    <row r="507" spans="3:3" hidden="1">
      <c r="C507" s="10"/>
    </row>
    <row r="508" spans="3:3" hidden="1">
      <c r="C508" s="10"/>
    </row>
    <row r="509" spans="3:3" hidden="1">
      <c r="C509" s="10"/>
    </row>
    <row r="510" spans="3:3" hidden="1">
      <c r="C510" s="10"/>
    </row>
    <row r="511" spans="3:3" hidden="1">
      <c r="C511" s="10"/>
    </row>
    <row r="512" spans="3:3" hidden="1">
      <c r="C512" s="10"/>
    </row>
    <row r="513" spans="3:3" hidden="1">
      <c r="C513" s="10"/>
    </row>
    <row r="514" spans="3:3" hidden="1">
      <c r="C514" s="10"/>
    </row>
    <row r="515" spans="3:3" hidden="1">
      <c r="C515" s="10"/>
    </row>
    <row r="516" spans="3:3" hidden="1">
      <c r="C516" s="10"/>
    </row>
    <row r="517" spans="3:3" hidden="1">
      <c r="C517" s="10"/>
    </row>
    <row r="518" spans="3:3" hidden="1">
      <c r="C518" s="10"/>
    </row>
    <row r="519" spans="3:3" hidden="1">
      <c r="C519" s="10"/>
    </row>
    <row r="520" spans="3:3" hidden="1">
      <c r="C520" s="10"/>
    </row>
    <row r="521" spans="3:3" hidden="1">
      <c r="C521" s="10"/>
    </row>
    <row r="522" spans="3:3" hidden="1">
      <c r="C522" s="10"/>
    </row>
    <row r="523" spans="3:3" hidden="1">
      <c r="C523" s="10"/>
    </row>
    <row r="524" spans="3:3" hidden="1">
      <c r="C524" s="10"/>
    </row>
    <row r="525" spans="3:3" hidden="1">
      <c r="C525" s="10"/>
    </row>
    <row r="526" spans="3:3" hidden="1">
      <c r="C526" s="10"/>
    </row>
    <row r="527" spans="3:3" hidden="1">
      <c r="C527" s="10"/>
    </row>
    <row r="528" spans="3:3" hidden="1">
      <c r="C528" s="10"/>
    </row>
    <row r="529" spans="3:3" hidden="1">
      <c r="C529" s="10"/>
    </row>
    <row r="530" spans="3:3" hidden="1">
      <c r="C530" s="10"/>
    </row>
    <row r="531" spans="3:3" hidden="1">
      <c r="C531" s="10"/>
    </row>
    <row r="532" spans="3:3" hidden="1">
      <c r="C532" s="10"/>
    </row>
    <row r="533" spans="3:3" hidden="1">
      <c r="C533" s="10"/>
    </row>
    <row r="534" spans="3:3" hidden="1">
      <c r="C534" s="10"/>
    </row>
    <row r="535" spans="3:3" hidden="1">
      <c r="C535" s="10"/>
    </row>
    <row r="536" spans="3:3" hidden="1">
      <c r="C536" s="10"/>
    </row>
    <row r="537" spans="3:3" hidden="1">
      <c r="C537" s="10"/>
    </row>
    <row r="538" spans="3:3" hidden="1">
      <c r="C538" s="10"/>
    </row>
    <row r="539" spans="3:3" hidden="1">
      <c r="C539" s="10"/>
    </row>
    <row r="540" spans="3:3" hidden="1">
      <c r="C540" s="10"/>
    </row>
    <row r="541" spans="3:3" hidden="1">
      <c r="C541" s="10"/>
    </row>
    <row r="542" spans="3:3" hidden="1">
      <c r="C542" s="10"/>
    </row>
    <row r="543" spans="3:3" hidden="1">
      <c r="C543" s="10"/>
    </row>
    <row r="544" spans="3:3" hidden="1">
      <c r="C544" s="10"/>
    </row>
    <row r="545" spans="3:3" hidden="1">
      <c r="C545" s="10"/>
    </row>
    <row r="546" spans="3:3" hidden="1">
      <c r="C546" s="10"/>
    </row>
    <row r="547" spans="3:3" hidden="1">
      <c r="C547" s="10"/>
    </row>
    <row r="548" spans="3:3" hidden="1">
      <c r="C548" s="10"/>
    </row>
    <row r="549" spans="3:3" hidden="1">
      <c r="C549" s="10"/>
    </row>
    <row r="550" spans="3:3" hidden="1">
      <c r="C550" s="10"/>
    </row>
    <row r="551" spans="3:3" hidden="1">
      <c r="C551" s="10"/>
    </row>
    <row r="552" spans="3:3" hidden="1">
      <c r="C552" s="10"/>
    </row>
    <row r="553" spans="3:3" hidden="1">
      <c r="C553" s="10"/>
    </row>
    <row r="554" spans="3:3" hidden="1">
      <c r="C554" s="10"/>
    </row>
    <row r="555" spans="3:3" hidden="1">
      <c r="C555" s="10"/>
    </row>
    <row r="556" spans="3:3" hidden="1">
      <c r="C556" s="10"/>
    </row>
    <row r="557" spans="3:3" hidden="1">
      <c r="C557" s="10"/>
    </row>
    <row r="558" spans="3:3" hidden="1">
      <c r="C558" s="10"/>
    </row>
    <row r="559" spans="3:3" hidden="1">
      <c r="C559" s="10"/>
    </row>
    <row r="560" spans="3:3" hidden="1">
      <c r="C560" s="10"/>
    </row>
    <row r="561" spans="3:3" hidden="1">
      <c r="C561" s="10"/>
    </row>
    <row r="562" spans="3:3" hidden="1">
      <c r="C562" s="10"/>
    </row>
    <row r="563" spans="3:3" hidden="1">
      <c r="C563" s="10"/>
    </row>
    <row r="564" spans="3:3" hidden="1">
      <c r="C564" s="10"/>
    </row>
    <row r="565" spans="3:3" hidden="1">
      <c r="C565" s="10"/>
    </row>
    <row r="566" spans="3:3" hidden="1">
      <c r="C566" s="10"/>
    </row>
    <row r="567" spans="3:3" hidden="1">
      <c r="C567" s="10"/>
    </row>
    <row r="568" spans="3:3" hidden="1">
      <c r="C568" s="10"/>
    </row>
    <row r="569" spans="3:3" hidden="1">
      <c r="C569" s="10"/>
    </row>
    <row r="570" spans="3:3" hidden="1">
      <c r="C570" s="10"/>
    </row>
    <row r="571" spans="3:3" hidden="1">
      <c r="C571" s="10"/>
    </row>
    <row r="572" spans="3:3" hidden="1">
      <c r="C572" s="10"/>
    </row>
    <row r="573" spans="3:3" hidden="1">
      <c r="C573" s="10"/>
    </row>
    <row r="574" spans="3:3" hidden="1">
      <c r="C574" s="10"/>
    </row>
    <row r="575" spans="3:3" hidden="1">
      <c r="C575" s="10"/>
    </row>
    <row r="576" spans="3:3" hidden="1">
      <c r="C576" s="10"/>
    </row>
    <row r="577" spans="3:3" hidden="1">
      <c r="C577" s="10"/>
    </row>
    <row r="578" spans="3:3" hidden="1">
      <c r="C578" s="10"/>
    </row>
    <row r="651"/>
    <row r="652"/>
    <row r="653"/>
    <row r="654"/>
    <row r="655"/>
    <row r="656"/>
    <row r="657"/>
    <row r="658"/>
    <row r="659"/>
    <row r="660"/>
    <row r="661"/>
    <row r="662"/>
    <row r="663"/>
    <row r="664"/>
    <row r="665"/>
  </sheetData>
  <sheetProtection algorithmName="SHA-512" hashValue="lEpW0o6c/PX3wcp7SkvkD/DaRFqX11wPDGzzrIb8V+qt6JF/ORHyrbLRfbffPRb+KpWfw3npcORWsgQIDtZS6A==" saltValue="FJ6lUAUm2Ld28dlmILfRLA==" spinCount="100000" sheet="1" objects="1" scenarios="1"/>
  <mergeCells count="5">
    <mergeCell ref="O27:Q27"/>
    <mergeCell ref="A28:C28"/>
    <mergeCell ref="A27:C27"/>
    <mergeCell ref="H27:J27"/>
    <mergeCell ref="V27:X27"/>
  </mergeCells>
  <phoneticPr fontId="0" type="noConversion"/>
  <conditionalFormatting sqref="Z3:AA3">
    <cfRule type="expression" dxfId="22" priority="1" stopIfTrue="1">
      <formula>AND(State&lt;&gt;"Missouri",State&lt;&gt;"Louisiana",State&lt;&gt;"Wisconsin")</formula>
    </cfRule>
  </conditionalFormatting>
  <pageMargins left="0.5" right="0.5" top="1.25" bottom="0.6" header="0.5" footer="0.33"/>
  <pageSetup fitToHeight="0"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1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70C0"/>
  </sheetPr>
  <dimension ref="A1:P119"/>
  <sheetViews>
    <sheetView showGridLines="0" zoomScale="85" zoomScaleNormal="85" workbookViewId="0">
      <selection activeCell="F25" sqref="F25"/>
    </sheetView>
  </sheetViews>
  <sheetFormatPr defaultColWidth="0" defaultRowHeight="12.5" zeroHeight="1"/>
  <cols>
    <col min="1" max="1" width="6.69921875" style="47" customWidth="1"/>
    <col min="2" max="2" width="13.19921875" style="47" customWidth="1"/>
    <col min="3" max="3" width="25.5" style="47" customWidth="1"/>
    <col min="4" max="4" width="8.69921875" style="47" customWidth="1"/>
    <col min="5" max="5" width="22" style="47" customWidth="1"/>
    <col min="6" max="6" width="18.796875" style="47" customWidth="1"/>
    <col min="7" max="7" width="24.296875" style="47" customWidth="1"/>
    <col min="8" max="8" width="9.296875" style="47" customWidth="1"/>
    <col min="9" max="9" width="19.796875" style="47" customWidth="1"/>
    <col min="10" max="10" width="21.5" style="47" customWidth="1"/>
    <col min="11" max="13" width="9.296875" style="47" customWidth="1"/>
    <col min="14" max="14" width="2.19921875" style="47" hidden="1" customWidth="1"/>
    <col min="15" max="15" width="10.5" style="47" hidden="1" customWidth="1"/>
    <col min="16" max="16" width="3.5" style="47" customWidth="1"/>
    <col min="17" max="16384" width="9.296875" style="47" hidden="1"/>
  </cols>
  <sheetData>
    <row r="1" spans="1:15" s="70" customFormat="1" ht="13">
      <c r="A1" s="74"/>
      <c r="B1" s="74"/>
      <c r="C1" s="74"/>
      <c r="D1" s="74"/>
      <c r="E1" s="75"/>
      <c r="F1" s="76"/>
      <c r="G1" s="76"/>
      <c r="O1" s="246"/>
    </row>
    <row r="2" spans="1:15" s="70" customFormat="1" ht="13">
      <c r="A2" s="77" t="s">
        <v>184</v>
      </c>
      <c r="B2" s="77"/>
      <c r="C2" s="77"/>
      <c r="D2" s="77"/>
      <c r="E2" s="77"/>
      <c r="F2" s="77"/>
      <c r="G2" s="77"/>
      <c r="H2" s="77"/>
      <c r="I2" s="77"/>
      <c r="J2" s="77"/>
      <c r="K2" s="77"/>
      <c r="L2" s="77"/>
      <c r="M2" s="77"/>
      <c r="O2" s="246"/>
    </row>
    <row r="3" spans="1:15" s="70" customFormat="1" ht="13">
      <c r="A3" s="74"/>
      <c r="B3" s="74"/>
      <c r="C3" s="74"/>
      <c r="D3" s="74"/>
      <c r="E3" s="78"/>
      <c r="F3" s="76"/>
      <c r="G3" s="76"/>
      <c r="O3" s="246"/>
    </row>
    <row r="4" spans="1:15" s="70" customFormat="1" ht="13">
      <c r="A4" s="79" t="s">
        <v>185</v>
      </c>
      <c r="B4" s="79"/>
      <c r="C4" s="79"/>
      <c r="D4" s="79"/>
      <c r="E4" s="79"/>
      <c r="F4" s="79"/>
      <c r="G4" s="79"/>
      <c r="H4" s="79"/>
      <c r="I4" s="79"/>
      <c r="J4" s="79"/>
      <c r="K4" s="79"/>
      <c r="L4" s="79"/>
      <c r="M4" s="79"/>
      <c r="O4" s="246"/>
    </row>
    <row r="5" spans="1:15" s="81" customFormat="1" ht="13">
      <c r="A5" s="80"/>
      <c r="B5" s="80"/>
      <c r="C5" s="80"/>
      <c r="D5" s="80"/>
      <c r="E5" s="80"/>
      <c r="F5" s="80"/>
      <c r="G5" s="80"/>
      <c r="O5" s="246"/>
    </row>
    <row r="6" spans="1:15" s="70" customFormat="1" ht="18.75" customHeight="1">
      <c r="A6" s="82">
        <v>1</v>
      </c>
      <c r="B6" s="72" t="s">
        <v>28</v>
      </c>
      <c r="C6" s="72"/>
      <c r="D6" s="72"/>
      <c r="E6" s="372" t="str">
        <f>HOSPITALNAME_ADJ</f>
        <v>AU Medical Center</v>
      </c>
      <c r="F6" s="373"/>
      <c r="G6" s="374"/>
      <c r="O6" s="246"/>
    </row>
    <row r="7" spans="1:15" s="70" customFormat="1" ht="5.25" customHeight="1">
      <c r="A7" s="74"/>
      <c r="B7" s="72"/>
      <c r="C7" s="72"/>
      <c r="D7" s="72"/>
      <c r="E7" s="83"/>
      <c r="F7" s="72"/>
      <c r="G7" s="72"/>
      <c r="O7" s="246"/>
    </row>
    <row r="8" spans="1:15" s="70" customFormat="1" ht="17.25" customHeight="1">
      <c r="A8" s="82">
        <v>2</v>
      </c>
      <c r="B8" s="72" t="str">
        <f>IF(State="Missouri","Missouri Medicaid Provider Number:","Medicaid Provider Number:")</f>
        <v>Medicaid Provider Number:</v>
      </c>
      <c r="C8" s="72"/>
      <c r="D8" s="72"/>
      <c r="E8" s="93" t="str">
        <f>McaidNum_ADJ</f>
        <v>000000723A</v>
      </c>
      <c r="F8" s="47"/>
      <c r="G8" s="72"/>
      <c r="O8" s="246"/>
    </row>
    <row r="9" spans="1:15" s="70" customFormat="1" ht="6" customHeight="1">
      <c r="A9" s="72"/>
      <c r="B9" s="72"/>
      <c r="C9" s="72"/>
      <c r="D9" s="72"/>
      <c r="E9" s="47"/>
      <c r="F9" s="47"/>
      <c r="G9" s="47"/>
      <c r="O9" s="246"/>
    </row>
    <row r="10" spans="1:15" s="70" customFormat="1" ht="8.25" customHeight="1">
      <c r="A10" s="72"/>
      <c r="B10" s="72"/>
      <c r="C10" s="72"/>
      <c r="D10" s="72"/>
      <c r="E10" s="83"/>
      <c r="F10" s="47"/>
      <c r="G10" s="72"/>
      <c r="O10" s="246"/>
    </row>
    <row r="11" spans="1:15" s="70" customFormat="1" ht="18" customHeight="1">
      <c r="A11" s="82">
        <v>3</v>
      </c>
      <c r="B11" s="72" t="s">
        <v>1</v>
      </c>
      <c r="C11" s="72"/>
      <c r="D11" s="72"/>
      <c r="E11" s="93">
        <f>McareNum_ADJ</f>
        <v>110034</v>
      </c>
      <c r="F11" s="47"/>
      <c r="G11" s="72"/>
      <c r="O11" s="246"/>
    </row>
    <row r="12" spans="1:15" s="70" customFormat="1">
      <c r="A12" s="72"/>
      <c r="B12" s="72"/>
      <c r="C12" s="72"/>
      <c r="D12" s="72"/>
      <c r="E12" s="83"/>
      <c r="F12" s="72"/>
      <c r="G12" s="72"/>
      <c r="O12" s="246"/>
    </row>
    <row r="13" spans="1:15" s="70" customFormat="1" hidden="1">
      <c r="A13" s="247"/>
      <c r="B13" s="247"/>
      <c r="C13" s="247"/>
      <c r="D13" s="247"/>
      <c r="E13" s="248" t="s">
        <v>416</v>
      </c>
      <c r="F13" s="247"/>
      <c r="G13" s="247" t="s">
        <v>450</v>
      </c>
      <c r="H13" s="246"/>
      <c r="I13" s="246"/>
      <c r="J13" s="246"/>
      <c r="K13" s="246"/>
      <c r="L13" s="246"/>
      <c r="M13" s="246"/>
      <c r="N13" s="246"/>
      <c r="O13" s="246"/>
    </row>
    <row r="14" spans="1:15" s="70" customFormat="1" ht="18" customHeight="1">
      <c r="A14" s="82">
        <v>4</v>
      </c>
      <c r="B14" s="72" t="s">
        <v>160</v>
      </c>
      <c r="C14" s="72"/>
      <c r="D14" s="74" t="s">
        <v>161</v>
      </c>
      <c r="E14" s="266">
        <v>44013</v>
      </c>
      <c r="F14" s="74" t="s">
        <v>162</v>
      </c>
      <c r="G14" s="266">
        <v>44377</v>
      </c>
      <c r="O14" s="246" t="s">
        <v>907</v>
      </c>
    </row>
    <row r="15" spans="1:15">
      <c r="O15" s="223"/>
    </row>
    <row r="16" spans="1:15" ht="48" customHeight="1">
      <c r="B16" s="383" t="str">
        <f>CONCATENATE("Based on the hospital's projections, the above named hospital does not anticipate having uncompensated cost of care for Medicaid and the uninsured eligible for an interim DSH payment for SFY ",YEAR($G$14),".  Therefore, this hospital elects not to receive an interim DSH payment for SFY ",YEAR($G$14),".")</f>
        <v>Based on the hospital's projections, the above named hospital does not anticipate having uncompensated cost of care for Medicaid and the uninsured eligible for an interim DSH payment for SFY 2021.  Therefore, this hospital elects not to receive an interim DSH payment for SFY 2021.</v>
      </c>
      <c r="C16" s="383"/>
      <c r="D16" s="383"/>
      <c r="E16" s="383"/>
      <c r="F16" s="383"/>
      <c r="G16" s="383"/>
      <c r="H16" s="383"/>
      <c r="I16" s="383"/>
      <c r="J16" s="383"/>
      <c r="K16" s="383"/>
      <c r="L16" s="383"/>
      <c r="O16" s="223"/>
    </row>
    <row r="17" spans="1:15">
      <c r="B17" s="91"/>
      <c r="C17" s="91"/>
      <c r="D17" s="91"/>
      <c r="E17" s="91"/>
      <c r="F17" s="91"/>
      <c r="G17" s="91"/>
      <c r="O17" s="223"/>
    </row>
    <row r="18" spans="1:15" ht="13">
      <c r="A18" s="82">
        <v>5</v>
      </c>
      <c r="B18" s="92" t="str">
        <f>CONCATENATE("Waive interim DSH payment for SFY ",YEAR(DSH_Payment_Year_End),"?")</f>
        <v>Waive interim DSH payment for SFY 2021?</v>
      </c>
      <c r="C18" s="91"/>
      <c r="D18" s="91"/>
      <c r="E18" s="91"/>
      <c r="F18" s="91"/>
      <c r="G18" s="280"/>
      <c r="O18" s="246" t="s">
        <v>908</v>
      </c>
    </row>
    <row r="19" spans="1:15">
      <c r="O19" s="223"/>
    </row>
    <row r="20" spans="1:15" ht="33.65" customHeight="1">
      <c r="B20" s="382" t="str">
        <f>IF(AND(State="Louisiana",Louisiana_Pool="Small Rural"),CONCATENATE("Even if your hospital chooses to waive receipt of a SFY ",YEAR(DSH_Payment_Year_End)," DSH payment, you are still required to submit the required UCC surveys and supporting documentation."),IF(AND(State="Louisiana",Louisiana_Pool="Act 540"),CONCATENATE("Even if your hospital chooses to waive receipt of a SFY ",YEAR(DSH_Payment_Year_End)," DSH payment, you are still required to complete and submit the required UCC surveys and supporting documentation for Act 540 reporting purposes."),""))</f>
        <v/>
      </c>
      <c r="C20" s="382"/>
      <c r="D20" s="382"/>
      <c r="E20" s="382"/>
      <c r="F20" s="382"/>
      <c r="G20" s="382"/>
      <c r="H20" s="382"/>
      <c r="I20" s="382"/>
      <c r="J20" s="382"/>
      <c r="O20" s="223"/>
    </row>
    <row r="21" spans="1:15" ht="16.5" hidden="1" customHeight="1">
      <c r="A21" s="223"/>
      <c r="B21" s="249"/>
      <c r="C21" s="249"/>
      <c r="D21" s="249"/>
      <c r="E21" s="249"/>
      <c r="F21" s="249"/>
      <c r="G21" s="249"/>
      <c r="H21" s="249"/>
      <c r="I21" s="249"/>
      <c r="J21" s="250" t="s">
        <v>451</v>
      </c>
      <c r="K21" s="223"/>
      <c r="L21" s="223"/>
      <c r="M21" s="223"/>
      <c r="N21" s="223"/>
      <c r="O21" s="223"/>
    </row>
    <row r="22" spans="1:15" s="70" customFormat="1" ht="13">
      <c r="A22" s="79" t="s">
        <v>170</v>
      </c>
      <c r="B22" s="79"/>
      <c r="C22" s="79"/>
      <c r="D22" s="79"/>
      <c r="E22" s="79"/>
      <c r="F22" s="79"/>
      <c r="G22" s="79"/>
      <c r="H22" s="79"/>
      <c r="I22" s="79"/>
      <c r="J22" s="79"/>
      <c r="K22" s="79"/>
      <c r="L22" s="79"/>
      <c r="M22" s="79"/>
      <c r="O22" s="246"/>
    </row>
    <row r="23" spans="1:15" s="86" customFormat="1" ht="39.75" customHeight="1" thickBot="1">
      <c r="A23" s="94" t="s">
        <v>186</v>
      </c>
      <c r="B23" s="94" t="s">
        <v>187</v>
      </c>
      <c r="C23" s="49"/>
      <c r="D23" s="49"/>
      <c r="E23" s="84"/>
      <c r="F23" s="49"/>
      <c r="G23" s="49"/>
      <c r="H23" s="49"/>
      <c r="I23" s="49"/>
      <c r="J23" s="85" t="str">
        <f>CONCATENATE("Cost Report Year (", TEXT(MAX(FYB_1_ADJ,FYB_2_ADJ,FYB_3_ADJ),"mm/dd/yy"), " - ", TEXT(MAX(FYE_1_ADJ,FYE_2_ADJ,FYE_3_ADJ),"mm/dd/yy"),")")</f>
        <v>Cost Report Year (07/01/21 - 06/30/22)</v>
      </c>
      <c r="K23" s="49"/>
      <c r="L23" s="49"/>
      <c r="M23" s="49"/>
      <c r="O23" s="220"/>
    </row>
    <row r="24" spans="1:15" s="86" customFormat="1" ht="41.25" customHeight="1">
      <c r="A24" s="49"/>
      <c r="B24" s="378" t="str">
        <f>IF(State="Missouri",MO_MIUR,MIUR)</f>
        <v>If you selected "Yes" above, you must fill out the days below.  CMS requires that the Department submit the MIUR for each hospital in the state that receives a Medicaid payment.  This information is necessary for the accurate reporting of the MIUR and may affect future federal funding.</v>
      </c>
      <c r="C24" s="378"/>
      <c r="D24" s="378"/>
      <c r="E24" s="378"/>
      <c r="F24" s="378"/>
      <c r="G24" s="378"/>
      <c r="H24" s="378"/>
      <c r="I24" s="49"/>
      <c r="J24" s="49"/>
      <c r="K24" s="49"/>
      <c r="L24" s="49"/>
      <c r="M24" s="49"/>
      <c r="O24" s="220"/>
    </row>
    <row r="25" spans="1:15" s="86" customFormat="1" ht="4.5" customHeight="1">
      <c r="A25" s="49"/>
      <c r="B25" s="49"/>
      <c r="C25" s="49"/>
      <c r="D25" s="49"/>
      <c r="E25" s="84"/>
      <c r="F25" s="49"/>
      <c r="G25" s="49"/>
      <c r="H25" s="49"/>
      <c r="I25" s="49"/>
      <c r="J25" s="49"/>
      <c r="K25" s="49"/>
      <c r="L25" s="49"/>
      <c r="M25" s="49"/>
      <c r="O25" s="220"/>
    </row>
    <row r="26" spans="1:15" s="86" customFormat="1" ht="17.25" customHeight="1">
      <c r="A26" s="82">
        <v>6</v>
      </c>
      <c r="B26" s="87" t="str">
        <f>IF(State="Missouri","Missouri Total Paid Medicaid FFS Days ","Total Paid Medicaid FFS Days ")</f>
        <v xml:space="preserve">Total Paid Medicaid FFS Days </v>
      </c>
      <c r="C26" s="87"/>
      <c r="D26" s="88"/>
      <c r="E26" s="47"/>
      <c r="F26" s="89"/>
      <c r="G26" s="87"/>
      <c r="H26" s="87"/>
      <c r="I26" s="87"/>
      <c r="J26" s="281"/>
      <c r="K26" s="49"/>
      <c r="L26" s="49"/>
      <c r="M26" s="49"/>
      <c r="O26" s="246" t="s">
        <v>909</v>
      </c>
    </row>
    <row r="27" spans="1:15" s="86" customFormat="1" ht="17.25" customHeight="1">
      <c r="A27" s="82">
        <v>7</v>
      </c>
      <c r="B27" s="87" t="str">
        <f>IF(State="Missouri","Missouri Total Paid Medicaid Managed Care Days ","Total Paid Medicaid Managed Care Days ")</f>
        <v xml:space="preserve">Total Paid Medicaid Managed Care Days </v>
      </c>
      <c r="C27" s="87"/>
      <c r="D27" s="88"/>
      <c r="E27" s="47"/>
      <c r="F27" s="89"/>
      <c r="G27" s="87"/>
      <c r="H27" s="87"/>
      <c r="I27" s="87"/>
      <c r="J27" s="281"/>
      <c r="K27" s="49"/>
      <c r="L27" s="49"/>
      <c r="M27" s="49"/>
      <c r="O27" s="246" t="s">
        <v>910</v>
      </c>
    </row>
    <row r="28" spans="1:15" s="86" customFormat="1" ht="17.25" customHeight="1">
      <c r="A28" s="82">
        <v>8</v>
      </c>
      <c r="B28" s="87" t="str">
        <f>IF(State="Missouri","Missouri Total Paid Medicaid FFS Crossover Days ","Total Medicaid FFS Crossover Days (Not Paid in Full or Partially by Medicare)")</f>
        <v>Total Medicaid FFS Crossover Days (Not Paid in Full or Partially by Medicare)</v>
      </c>
      <c r="C28" s="87"/>
      <c r="D28" s="87"/>
      <c r="E28" s="90"/>
      <c r="F28" s="87"/>
      <c r="G28" s="87"/>
      <c r="H28" s="87"/>
      <c r="I28" s="87"/>
      <c r="J28" s="281"/>
      <c r="K28" s="49"/>
      <c r="L28" s="49"/>
      <c r="M28" s="49"/>
      <c r="O28" s="246" t="s">
        <v>911</v>
      </c>
    </row>
    <row r="29" spans="1:15" s="86" customFormat="1" ht="17.25" customHeight="1">
      <c r="A29" s="82">
        <v>9</v>
      </c>
      <c r="B29" s="87" t="str">
        <f>IF(State="Missouri","Missouri Other Medicaid Eligible Days (No Medicaid Payment)",IF(State="Wisconsin","Other Medicaid Eligible Days (Not Paid in Full byThird Party Insurance, Partially Paid by Medicaid)","Other Medicaid )Eligible Days (No Medicaid Payment)"))</f>
        <v>Other Medicaid )Eligible Days (No Medicaid Payment)</v>
      </c>
      <c r="C29" s="87"/>
      <c r="D29" s="87"/>
      <c r="E29" s="90"/>
      <c r="F29" s="87"/>
      <c r="G29" s="87"/>
      <c r="H29" s="87"/>
      <c r="I29" s="87"/>
      <c r="J29" s="281"/>
      <c r="K29" s="49"/>
      <c r="L29" s="49"/>
      <c r="M29" s="49"/>
      <c r="O29" s="246" t="s">
        <v>912</v>
      </c>
    </row>
    <row r="30" spans="1:15" s="86" customFormat="1" ht="17.25" customHeight="1">
      <c r="A30" s="82">
        <v>10</v>
      </c>
      <c r="B30" s="87" t="str">
        <f>IF(State="Wisconsin","Out-of-State Paid Medicaid Days (Include FFS and Medicaid Managed Care)","Out-of-State Paid Medicaid Days  (Include FFS, Medicaid Managed Care, FFS Crossover, and Other Eligible)")</f>
        <v>Out-of-State Paid Medicaid Days  (Include FFS, Medicaid Managed Care, FFS Crossover, and Other Eligible)</v>
      </c>
      <c r="C30" s="87"/>
      <c r="D30" s="87"/>
      <c r="E30" s="90"/>
      <c r="F30" s="87"/>
      <c r="G30" s="87"/>
      <c r="H30" s="87"/>
      <c r="I30" s="87"/>
      <c r="J30" s="281"/>
      <c r="K30" s="49"/>
      <c r="L30" s="49"/>
      <c r="M30" s="49"/>
      <c r="O30" s="246" t="s">
        <v>913</v>
      </c>
    </row>
    <row r="31" spans="1:15" s="72" customFormat="1" ht="17.25" customHeight="1">
      <c r="A31" s="82">
        <v>11</v>
      </c>
      <c r="B31" s="376" t="s">
        <v>165</v>
      </c>
      <c r="C31" s="376"/>
      <c r="D31" s="376"/>
      <c r="E31" s="376"/>
      <c r="F31" s="376"/>
      <c r="G31" s="376"/>
      <c r="H31" s="376"/>
      <c r="I31" s="377"/>
      <c r="J31" s="281"/>
      <c r="O31" s="246" t="s">
        <v>914</v>
      </c>
    </row>
    <row r="32" spans="1:15" s="72" customFormat="1" ht="17.25" customHeight="1">
      <c r="A32" s="82">
        <v>12</v>
      </c>
      <c r="B32" s="376" t="s">
        <v>166</v>
      </c>
      <c r="C32" s="376"/>
      <c r="D32" s="376"/>
      <c r="E32" s="376"/>
      <c r="F32" s="376"/>
      <c r="G32" s="376"/>
      <c r="H32" s="376"/>
      <c r="I32" s="377"/>
      <c r="J32" s="281"/>
      <c r="O32" s="246" t="s">
        <v>915</v>
      </c>
    </row>
    <row r="33" spans="1:15" s="70" customFormat="1" ht="17.25" customHeight="1">
      <c r="A33" s="82">
        <v>13</v>
      </c>
      <c r="B33" s="376" t="str">
        <f>IF(State="Missouri","Unreconciled Medicaid Hospital Days (Primary Medicaid Days including Out-of-State less Cost Report Total) (please include explanation on Variance tab)","Unreconciled Medicaid Hospital Days (Primary Medicaid Days including Out-of-State less Cost Report Total) (please include explanation with submission)")</f>
        <v>Unreconciled Medicaid Hospital Days (Primary Medicaid Days including Out-of-State less Cost Report Total) (please include explanation with submission)</v>
      </c>
      <c r="C33" s="376"/>
      <c r="D33" s="376"/>
      <c r="E33" s="376"/>
      <c r="F33" s="376"/>
      <c r="G33" s="376"/>
      <c r="H33" s="376"/>
      <c r="I33" s="377"/>
      <c r="J33" s="267">
        <f>J26+J27+J30-J32</f>
        <v>0</v>
      </c>
      <c r="O33" s="246" t="s">
        <v>916</v>
      </c>
    </row>
    <row r="34" spans="1:15" s="70" customFormat="1" ht="12" customHeight="1">
      <c r="A34" s="72"/>
      <c r="B34" s="95"/>
      <c r="C34" s="95"/>
      <c r="D34" s="95"/>
      <c r="E34" s="95"/>
      <c r="F34" s="95"/>
      <c r="G34" s="95"/>
      <c r="H34" s="95"/>
      <c r="I34" s="95"/>
      <c r="J34" s="96"/>
      <c r="O34" s="246"/>
    </row>
    <row r="35" spans="1:15" s="70" customFormat="1">
      <c r="J35" s="95"/>
      <c r="O35" s="246"/>
    </row>
    <row r="36" spans="1:15" s="70" customFormat="1" ht="13">
      <c r="A36" s="71" t="str">
        <f>IF(State="Missouri","Missouri Medicaid Inpatient Utilization Rate (MIUR) Calculation","Medicaid Inpatient Utilization Rate (MIUR) Calculation")</f>
        <v>Medicaid Inpatient Utilization Rate (MIUR) Calculation</v>
      </c>
      <c r="B36" s="71"/>
      <c r="C36" s="71"/>
      <c r="D36" s="71"/>
      <c r="E36" s="71"/>
      <c r="F36" s="71"/>
      <c r="G36" s="71"/>
      <c r="H36" s="71"/>
      <c r="I36" s="71"/>
      <c r="J36" s="71"/>
      <c r="K36" s="71"/>
      <c r="L36" s="71"/>
      <c r="M36" s="71"/>
      <c r="O36" s="246"/>
    </row>
    <row r="37" spans="1:15" s="70" customFormat="1">
      <c r="J37" s="96"/>
      <c r="O37" s="246"/>
    </row>
    <row r="38" spans="1:15" s="72" customFormat="1" ht="18" customHeight="1">
      <c r="A38" s="82">
        <v>14</v>
      </c>
      <c r="B38" s="97" t="s">
        <v>167</v>
      </c>
      <c r="C38" s="98"/>
      <c r="D38" s="98"/>
      <c r="E38" s="72" t="s">
        <v>171</v>
      </c>
      <c r="J38" s="268">
        <f>J26+J27+J28+J29+J30</f>
        <v>0</v>
      </c>
      <c r="O38" s="246" t="s">
        <v>917</v>
      </c>
    </row>
    <row r="39" spans="1:15" s="72" customFormat="1" ht="18" customHeight="1" thickBot="1">
      <c r="A39" s="82">
        <v>15</v>
      </c>
      <c r="B39" s="97" t="s">
        <v>168</v>
      </c>
      <c r="C39" s="98"/>
      <c r="D39" s="98"/>
      <c r="E39" s="72" t="s">
        <v>172</v>
      </c>
      <c r="J39" s="268">
        <f>J31</f>
        <v>0</v>
      </c>
      <c r="O39" s="246" t="s">
        <v>918</v>
      </c>
    </row>
    <row r="40" spans="1:15" s="72" customFormat="1" ht="18" customHeight="1" thickBot="1">
      <c r="A40" s="82">
        <v>16</v>
      </c>
      <c r="B40" s="97" t="s">
        <v>169</v>
      </c>
      <c r="C40" s="98"/>
      <c r="D40" s="98"/>
      <c r="E40" s="72" t="s">
        <v>173</v>
      </c>
      <c r="J40" s="269">
        <f>IF(J39&gt;0,ROUND(J38/J39,4),0)</f>
        <v>0</v>
      </c>
      <c r="O40" s="246" t="s">
        <v>919</v>
      </c>
    </row>
    <row r="41" spans="1:15" s="70" customFormat="1" ht="9.75" customHeight="1">
      <c r="C41" s="371"/>
      <c r="D41" s="371"/>
      <c r="J41" s="96"/>
      <c r="O41" s="246"/>
    </row>
    <row r="42" spans="1:15" s="70" customFormat="1" ht="13">
      <c r="A42" s="71" t="str">
        <f>IF(State="Missouri","Missouri DSH OB Qualifying Information","DSH Qualifying Information")</f>
        <v>DSH Qualifying Information</v>
      </c>
      <c r="B42" s="71"/>
      <c r="C42" s="71"/>
      <c r="D42" s="71"/>
      <c r="E42" s="71"/>
      <c r="F42" s="71"/>
      <c r="G42" s="71"/>
      <c r="H42" s="71"/>
      <c r="I42" s="71"/>
      <c r="J42" s="71"/>
      <c r="K42" s="71"/>
      <c r="L42" s="71"/>
      <c r="M42" s="71"/>
      <c r="O42" s="246"/>
    </row>
    <row r="43" spans="1:15" s="70" customFormat="1" ht="9.75" customHeight="1">
      <c r="C43" s="155"/>
      <c r="D43" s="155"/>
      <c r="J43" s="96"/>
      <c r="O43" s="246"/>
    </row>
    <row r="44" spans="1:15" s="70" customFormat="1" ht="13">
      <c r="A44" s="94" t="s">
        <v>186</v>
      </c>
      <c r="B44" s="94" t="s">
        <v>201</v>
      </c>
      <c r="C44" s="94"/>
      <c r="D44" s="94"/>
      <c r="E44" s="94"/>
      <c r="F44" s="94"/>
      <c r="G44" s="94"/>
      <c r="H44" s="94"/>
      <c r="I44" s="94"/>
      <c r="J44" s="94"/>
      <c r="K44" s="94"/>
      <c r="L44" s="94"/>
      <c r="M44" s="94"/>
      <c r="N44" s="94"/>
      <c r="O44" s="246"/>
    </row>
    <row r="45" spans="1:15" s="70" customFormat="1" ht="13">
      <c r="B45" s="157" t="s">
        <v>202</v>
      </c>
      <c r="C45" s="155"/>
      <c r="D45" s="155"/>
      <c r="J45" s="96"/>
      <c r="O45" s="246"/>
    </row>
    <row r="46" spans="1:15" s="70" customFormat="1" ht="39.5" thickBot="1">
      <c r="B46" s="156" t="s">
        <v>176</v>
      </c>
      <c r="C46" s="155"/>
      <c r="D46" s="155"/>
      <c r="J46" s="85" t="str">
        <f>CONCATENATE("*Interim DSH Payment Year (", TEXT(DSH_Payment_Year_Begin,"mm/dd/yy"), " - ", TEXT(DSH_Payment_Year_End,"mm/dd/yy"),")")</f>
        <v>*Interim DSH Payment Year (07/01/20 - 06/30/21)</v>
      </c>
      <c r="O46" s="246"/>
    </row>
    <row r="47" spans="1:15" s="70" customFormat="1" ht="13">
      <c r="A47" s="82">
        <v>17</v>
      </c>
      <c r="B47" s="70" t="s">
        <v>191</v>
      </c>
      <c r="C47" s="155"/>
      <c r="D47" s="155"/>
      <c r="J47" s="280"/>
      <c r="O47" s="246" t="s">
        <v>920</v>
      </c>
    </row>
    <row r="48" spans="1:15" s="70" customFormat="1">
      <c r="A48" s="82"/>
      <c r="B48" s="70" t="s">
        <v>78</v>
      </c>
      <c r="C48" s="155"/>
      <c r="D48" s="155"/>
      <c r="J48" s="96"/>
      <c r="O48" s="246"/>
    </row>
    <row r="49" spans="1:15" s="70" customFormat="1">
      <c r="A49" s="82"/>
      <c r="B49" s="70" t="s">
        <v>26</v>
      </c>
      <c r="C49" s="155"/>
      <c r="D49" s="155"/>
      <c r="J49" s="96"/>
      <c r="O49" s="246"/>
    </row>
    <row r="50" spans="1:15" s="70" customFormat="1">
      <c r="A50" s="82"/>
      <c r="B50" s="70" t="s">
        <v>156</v>
      </c>
      <c r="C50" s="155"/>
      <c r="D50" s="155"/>
      <c r="J50" s="96"/>
      <c r="O50" s="246"/>
    </row>
    <row r="51" spans="1:15" s="70" customFormat="1">
      <c r="A51" s="82"/>
      <c r="C51" s="155"/>
      <c r="D51" s="155"/>
      <c r="J51" s="96"/>
      <c r="O51" s="246"/>
    </row>
    <row r="52" spans="1:15" s="70" customFormat="1" hidden="1">
      <c r="A52" s="251"/>
      <c r="B52" s="246" t="s">
        <v>452</v>
      </c>
      <c r="C52" s="252"/>
      <c r="D52" s="252"/>
      <c r="E52" s="246"/>
      <c r="F52" s="246"/>
      <c r="G52" s="246"/>
      <c r="H52" s="246"/>
      <c r="I52" s="246"/>
      <c r="J52" s="253" t="s">
        <v>453</v>
      </c>
      <c r="K52" s="246"/>
      <c r="L52" s="246"/>
      <c r="M52" s="246"/>
      <c r="N52" s="246"/>
      <c r="O52" s="246"/>
    </row>
    <row r="53" spans="1:15" s="70" customFormat="1">
      <c r="A53" s="82"/>
      <c r="B53" s="70" t="s">
        <v>178</v>
      </c>
      <c r="C53" s="155"/>
      <c r="D53" s="155"/>
      <c r="J53" s="96"/>
      <c r="O53" s="246"/>
    </row>
    <row r="54" spans="1:15" s="70" customFormat="1" ht="13">
      <c r="A54" s="82"/>
      <c r="B54" s="379"/>
      <c r="C54" s="380"/>
      <c r="D54" s="380"/>
      <c r="E54" s="380"/>
      <c r="F54" s="380"/>
      <c r="G54" s="381"/>
      <c r="J54" s="96"/>
      <c r="O54" s="246" t="s">
        <v>921</v>
      </c>
    </row>
    <row r="55" spans="1:15" s="70" customFormat="1" ht="13">
      <c r="A55" s="82"/>
      <c r="B55" s="379"/>
      <c r="C55" s="380"/>
      <c r="D55" s="380"/>
      <c r="E55" s="380"/>
      <c r="F55" s="380"/>
      <c r="G55" s="381"/>
      <c r="J55" s="96"/>
      <c r="O55" s="246" t="s">
        <v>922</v>
      </c>
    </row>
    <row r="56" spans="1:15" s="70" customFormat="1">
      <c r="A56" s="82"/>
      <c r="C56" s="155"/>
      <c r="D56" s="155"/>
      <c r="J56" s="96"/>
      <c r="O56" s="246"/>
    </row>
    <row r="57" spans="1:15" s="70" customFormat="1" ht="13">
      <c r="A57" s="82">
        <v>18</v>
      </c>
      <c r="B57" s="70" t="s">
        <v>177</v>
      </c>
      <c r="C57" s="155"/>
      <c r="D57" s="155"/>
      <c r="J57" s="280"/>
      <c r="O57" s="246" t="s">
        <v>923</v>
      </c>
    </row>
    <row r="58" spans="1:15" s="70" customFormat="1">
      <c r="A58" s="82" t="s">
        <v>114</v>
      </c>
      <c r="B58" s="70" t="s">
        <v>138</v>
      </c>
      <c r="C58" s="155"/>
      <c r="D58" s="155"/>
      <c r="J58" s="96"/>
      <c r="O58" s="246"/>
    </row>
    <row r="59" spans="1:15" s="70" customFormat="1">
      <c r="A59" s="82"/>
      <c r="C59" s="155"/>
      <c r="D59" s="155"/>
      <c r="J59" s="96"/>
      <c r="O59" s="246"/>
    </row>
    <row r="60" spans="1:15" s="70" customFormat="1" ht="13">
      <c r="A60" s="82">
        <v>19</v>
      </c>
      <c r="B60" s="70" t="s">
        <v>179</v>
      </c>
      <c r="C60" s="155"/>
      <c r="D60" s="155"/>
      <c r="J60" s="280"/>
      <c r="O60" s="246" t="s">
        <v>924</v>
      </c>
    </row>
    <row r="61" spans="1:15" s="70" customFormat="1">
      <c r="A61" s="82"/>
      <c r="B61" s="70" t="s">
        <v>27</v>
      </c>
      <c r="C61" s="155"/>
      <c r="D61" s="155"/>
      <c r="J61" s="96"/>
      <c r="O61" s="246"/>
    </row>
    <row r="62" spans="1:15" s="70" customFormat="1">
      <c r="A62" s="82"/>
      <c r="B62" s="70" t="s">
        <v>137</v>
      </c>
      <c r="C62" s="155"/>
      <c r="D62" s="155"/>
      <c r="J62" s="96"/>
      <c r="O62" s="246"/>
    </row>
    <row r="63" spans="1:15" s="70" customFormat="1">
      <c r="A63" s="82"/>
      <c r="C63" s="155"/>
      <c r="D63" s="155"/>
      <c r="J63" s="96"/>
      <c r="O63" s="246"/>
    </row>
    <row r="64" spans="1:15" s="70" customFormat="1" ht="13">
      <c r="A64" s="82" t="s">
        <v>194</v>
      </c>
      <c r="B64" s="70" t="s">
        <v>180</v>
      </c>
      <c r="C64" s="155"/>
      <c r="D64" s="155"/>
      <c r="J64" s="280"/>
      <c r="O64" s="246" t="s">
        <v>925</v>
      </c>
    </row>
    <row r="65" spans="1:15" s="70" customFormat="1">
      <c r="A65" s="82"/>
      <c r="C65" s="155"/>
      <c r="D65" s="155"/>
      <c r="J65" s="96"/>
      <c r="O65" s="246"/>
    </row>
    <row r="66" spans="1:15" s="70" customFormat="1" ht="13">
      <c r="A66" s="82" t="s">
        <v>195</v>
      </c>
      <c r="B66" s="70" t="s">
        <v>181</v>
      </c>
      <c r="C66" s="155"/>
      <c r="D66" s="155"/>
      <c r="J66" s="282"/>
      <c r="O66" s="246" t="s">
        <v>926</v>
      </c>
    </row>
    <row r="67" spans="1:15" s="70" customFormat="1" ht="9.65" customHeight="1">
      <c r="A67" s="82"/>
      <c r="C67" s="155"/>
      <c r="D67" s="155"/>
      <c r="J67" s="351"/>
      <c r="O67" s="246"/>
    </row>
    <row r="68" spans="1:15" s="70" customFormat="1" ht="13">
      <c r="A68" s="71" t="s">
        <v>1309</v>
      </c>
      <c r="B68" s="71"/>
      <c r="C68" s="71"/>
      <c r="D68" s="71"/>
      <c r="E68" s="71"/>
      <c r="F68" s="71"/>
      <c r="G68" s="71"/>
      <c r="H68" s="71"/>
      <c r="I68" s="71"/>
      <c r="J68" s="71"/>
      <c r="K68" s="71"/>
      <c r="L68" s="71"/>
      <c r="M68" s="71"/>
      <c r="O68" s="246"/>
    </row>
    <row r="69" spans="1:15" s="70" customFormat="1" ht="7.9" customHeight="1">
      <c r="A69" s="352"/>
      <c r="B69" s="353"/>
      <c r="C69" s="353"/>
      <c r="D69" s="353"/>
      <c r="E69" s="353"/>
      <c r="F69" s="353"/>
      <c r="G69" s="353"/>
      <c r="H69" s="353"/>
      <c r="I69" s="353"/>
      <c r="J69" s="353"/>
      <c r="K69" s="353"/>
      <c r="L69" s="353"/>
      <c r="M69" s="353"/>
      <c r="O69" s="246"/>
    </row>
    <row r="70" spans="1:15" s="70" customFormat="1" ht="13.5" thickBot="1">
      <c r="A70" s="354" t="s">
        <v>1310</v>
      </c>
      <c r="B70" s="354"/>
      <c r="C70" s="354"/>
      <c r="D70" s="354"/>
      <c r="E70" s="354"/>
      <c r="F70" s="354"/>
      <c r="G70" s="354"/>
      <c r="H70" s="354"/>
      <c r="I70" s="354"/>
      <c r="J70" s="384" t="s">
        <v>217</v>
      </c>
      <c r="K70" s="354"/>
      <c r="L70" s="354"/>
      <c r="M70" s="354"/>
      <c r="O70" s="246"/>
    </row>
    <row r="71" spans="1:15" s="70" customFormat="1" ht="13.5" thickBot="1">
      <c r="A71" s="354"/>
      <c r="B71" s="354"/>
      <c r="C71" s="354"/>
      <c r="D71" s="354"/>
      <c r="E71" s="354"/>
      <c r="F71" s="354"/>
      <c r="G71" s="354"/>
      <c r="H71" s="354"/>
      <c r="I71" s="354"/>
      <c r="J71" s="384"/>
      <c r="K71" s="354"/>
      <c r="L71" s="354"/>
      <c r="M71" s="354"/>
      <c r="O71" s="246"/>
    </row>
    <row r="72" spans="1:15" s="70" customFormat="1" ht="13.5" thickBot="1">
      <c r="A72" s="354"/>
      <c r="B72" s="355" t="str">
        <f>CONCATENATE("In order to qualify for a SFY ",YEAR(DSH_Payment_Year_End)," DSH payment under the Supplemental DSH Program, please verify that your facility meets the criteria below, ")</f>
        <v xml:space="preserve">In order to qualify for a SFY 2021 DSH payment under the Supplemental DSH Program, please verify that your facility meets the criteria below, </v>
      </c>
      <c r="C72" s="354"/>
      <c r="D72" s="354"/>
      <c r="E72" s="354"/>
      <c r="F72" s="354"/>
      <c r="G72" s="354"/>
      <c r="H72" s="354"/>
      <c r="I72" s="354"/>
      <c r="J72" s="384"/>
      <c r="K72" s="354"/>
      <c r="L72" s="354"/>
      <c r="M72" s="354"/>
      <c r="O72" s="246"/>
    </row>
    <row r="73" spans="1:15" s="70" customFormat="1" ht="13">
      <c r="A73" s="354"/>
      <c r="B73" s="356" t="s">
        <v>1311</v>
      </c>
      <c r="C73" s="354"/>
      <c r="D73" s="354"/>
      <c r="E73" s="354"/>
      <c r="F73" s="354"/>
      <c r="G73" s="354"/>
      <c r="H73" s="354"/>
      <c r="I73" s="354"/>
      <c r="J73" s="354"/>
      <c r="K73" s="354"/>
      <c r="L73" s="354"/>
      <c r="M73" s="354"/>
      <c r="O73" s="246"/>
    </row>
    <row r="74" spans="1:15" s="70" customFormat="1" ht="13">
      <c r="A74" s="354"/>
      <c r="B74" s="354"/>
      <c r="C74" s="354"/>
      <c r="D74" s="354"/>
      <c r="E74" s="354"/>
      <c r="F74" s="354"/>
      <c r="G74" s="354"/>
      <c r="H74" s="354"/>
      <c r="I74" s="354"/>
      <c r="J74" s="354"/>
      <c r="K74" s="354"/>
      <c r="L74" s="354"/>
      <c r="M74" s="354"/>
      <c r="O74" s="246"/>
    </row>
    <row r="75" spans="1:15" s="70" customFormat="1" ht="13">
      <c r="A75" s="82">
        <v>20</v>
      </c>
      <c r="B75" s="356" t="s">
        <v>1312</v>
      </c>
      <c r="C75" s="354"/>
      <c r="D75" s="354"/>
      <c r="E75" s="354"/>
      <c r="F75" s="354"/>
      <c r="G75" s="354"/>
      <c r="H75" s="354"/>
      <c r="I75" s="354"/>
      <c r="J75" s="280"/>
      <c r="K75" s="354"/>
      <c r="L75" s="354"/>
      <c r="M75" s="354"/>
      <c r="O75" s="246"/>
    </row>
    <row r="76" spans="1:15" s="70" customFormat="1" ht="7.15" customHeight="1">
      <c r="A76" s="354"/>
      <c r="B76" s="354"/>
      <c r="C76" s="354"/>
      <c r="D76" s="354"/>
      <c r="E76" s="354"/>
      <c r="F76" s="354"/>
      <c r="G76" s="354"/>
      <c r="H76" s="354"/>
      <c r="I76" s="354"/>
      <c r="J76" s="354"/>
      <c r="K76" s="354"/>
      <c r="L76" s="354"/>
      <c r="M76" s="354"/>
      <c r="O76" s="246"/>
    </row>
    <row r="77" spans="1:15">
      <c r="O77" s="223"/>
    </row>
    <row r="78" spans="1:15" ht="13">
      <c r="A78" s="71" t="s">
        <v>101</v>
      </c>
      <c r="B78" s="71"/>
      <c r="C78" s="71"/>
      <c r="D78" s="71"/>
      <c r="E78" s="71"/>
      <c r="F78" s="71"/>
      <c r="G78" s="71"/>
      <c r="H78" s="71"/>
      <c r="I78" s="71"/>
      <c r="J78" s="71"/>
      <c r="K78" s="71"/>
      <c r="L78" s="71"/>
      <c r="M78" s="71"/>
      <c r="O78" s="223"/>
    </row>
    <row r="79" spans="1:15">
      <c r="B79" s="91"/>
      <c r="C79" s="91"/>
      <c r="D79" s="91"/>
      <c r="E79" s="91"/>
      <c r="F79" s="91"/>
      <c r="G79" s="91"/>
      <c r="O79" s="223"/>
    </row>
    <row r="80" spans="1:15" ht="70.5" customHeight="1">
      <c r="B80" s="375" t="str">
        <f>IF(State="Missouri",MO_OptOut,OptOut)</f>
        <v>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v>
      </c>
      <c r="C80" s="375"/>
      <c r="D80" s="375"/>
      <c r="E80" s="375"/>
      <c r="F80" s="375"/>
      <c r="G80" s="375"/>
      <c r="O80" s="223"/>
    </row>
    <row r="81" spans="1:15">
      <c r="O81" s="223"/>
    </row>
    <row r="82" spans="1:15">
      <c r="O82" s="223"/>
    </row>
    <row r="83" spans="1:15">
      <c r="O83" s="223"/>
    </row>
    <row r="84" spans="1:15">
      <c r="O84" s="223"/>
    </row>
    <row r="85" spans="1:15">
      <c r="O85" s="223"/>
    </row>
    <row r="86" spans="1:15">
      <c r="O86" s="223"/>
    </row>
    <row r="87" spans="1:15" hidden="1">
      <c r="A87" s="223"/>
      <c r="B87" s="223" t="s">
        <v>454</v>
      </c>
      <c r="C87" s="223"/>
      <c r="D87" s="223"/>
      <c r="E87" s="223"/>
      <c r="F87" s="223"/>
      <c r="G87" s="223" t="s">
        <v>455</v>
      </c>
      <c r="H87" s="223"/>
      <c r="I87" s="223"/>
      <c r="J87" s="223"/>
      <c r="K87" s="223"/>
      <c r="L87" s="223"/>
      <c r="M87" s="223"/>
      <c r="N87" s="223"/>
      <c r="O87" s="223"/>
    </row>
    <row r="88" spans="1:15">
      <c r="B88" s="73"/>
      <c r="C88" s="73"/>
      <c r="D88" s="73"/>
      <c r="E88" s="73"/>
      <c r="G88" s="270"/>
      <c r="O88" s="246" t="s">
        <v>927</v>
      </c>
    </row>
    <row r="89" spans="1:15">
      <c r="B89" s="47" t="s">
        <v>163</v>
      </c>
      <c r="G89" s="47" t="s">
        <v>14</v>
      </c>
      <c r="O89" s="223"/>
    </row>
    <row r="90" spans="1:15">
      <c r="O90" s="223"/>
    </row>
    <row r="91" spans="1:15">
      <c r="O91" s="223"/>
    </row>
    <row r="92" spans="1:15">
      <c r="B92" s="73"/>
      <c r="C92" s="73"/>
      <c r="D92" s="73"/>
      <c r="E92" s="73"/>
      <c r="O92" s="246" t="s">
        <v>928</v>
      </c>
    </row>
    <row r="93" spans="1:15">
      <c r="B93" s="47" t="s">
        <v>164</v>
      </c>
      <c r="O93" s="223"/>
    </row>
    <row r="94" spans="1:15">
      <c r="O94" s="223"/>
    </row>
    <row r="95" spans="1:15">
      <c r="O95" s="223"/>
    </row>
    <row r="96" spans="1:15">
      <c r="B96" s="73"/>
      <c r="C96" s="73"/>
      <c r="D96" s="73"/>
      <c r="E96" s="73"/>
      <c r="O96" s="246" t="s">
        <v>929</v>
      </c>
    </row>
    <row r="97" spans="2:2">
      <c r="B97" s="47" t="s">
        <v>22</v>
      </c>
    </row>
    <row r="98" spans="2:2"/>
    <row r="99" spans="2:2"/>
    <row r="100" spans="2:2"/>
    <row r="101" spans="2:2"/>
    <row r="102" spans="2:2"/>
    <row r="103" spans="2:2"/>
    <row r="104" spans="2:2"/>
    <row r="105" spans="2:2"/>
    <row r="106" spans="2:2"/>
    <row r="107" spans="2:2"/>
    <row r="108" spans="2:2"/>
    <row r="109" spans="2:2"/>
    <row r="110" spans="2:2"/>
    <row r="111" spans="2:2"/>
    <row r="112" spans="2:2"/>
    <row r="113"/>
    <row r="114"/>
    <row r="115"/>
    <row r="116"/>
    <row r="117"/>
    <row r="118"/>
    <row r="119"/>
  </sheetData>
  <sheetProtection algorithmName="SHA-512" hashValue="B3XVYQmT6zatucHJzBH81/hcJlZhGXFT0vHD0akRB1JLy6unW1zHQHf6hPczBWLoCTVnCWSAab+wrcxD3/sgqg==" saltValue="IkUMad3wIAB4093bLwSJvQ==" spinCount="100000" sheet="1" objects="1" scenarios="1" formatCells="0"/>
  <mergeCells count="12">
    <mergeCell ref="C41:D41"/>
    <mergeCell ref="E6:G6"/>
    <mergeCell ref="B80:G80"/>
    <mergeCell ref="B31:I31"/>
    <mergeCell ref="B32:I32"/>
    <mergeCell ref="B33:I33"/>
    <mergeCell ref="B24:H24"/>
    <mergeCell ref="B54:G54"/>
    <mergeCell ref="B55:G55"/>
    <mergeCell ref="B20:J20"/>
    <mergeCell ref="B16:L16"/>
    <mergeCell ref="J70:J72"/>
  </mergeCells>
  <conditionalFormatting sqref="A68:XFD77">
    <cfRule type="expression" dxfId="21" priority="1">
      <formula>State&lt;&gt;"Wisconsin"</formula>
    </cfRule>
  </conditionalFormatting>
  <conditionalFormatting sqref="J26:J33 J47 B54:G55 J57 J60 J64 J66:J67">
    <cfRule type="expression" dxfId="20" priority="5" stopIfTrue="1">
      <formula>$G$18="No"</formula>
    </cfRule>
  </conditionalFormatting>
  <conditionalFormatting sqref="J75">
    <cfRule type="expression" dxfId="19" priority="3" stopIfTrue="1">
      <formula>$G$17="No"</formula>
    </cfRule>
    <cfRule type="expression" dxfId="18" priority="4" stopIfTrue="1">
      <formula>$G$18="No"</formula>
    </cfRule>
  </conditionalFormatting>
  <dataValidations count="2">
    <dataValidation type="list" allowBlank="1" showInputMessage="1" showErrorMessage="1" sqref="G18 J47 J57 J60 J64" xr:uid="{00000000-0002-0000-0500-000000000000}">
      <formula1>"Yes,No"</formula1>
    </dataValidation>
    <dataValidation type="list" allowBlank="1" showInputMessage="1" showErrorMessage="1" sqref="J75" xr:uid="{00000000-0002-0000-0500-000001000000}">
      <formula1>"Yes,No,N/A"</formula1>
    </dataValidation>
  </dataValidations>
  <pageMargins left="0.7" right="0.7" top="0.75" bottom="0.75" header="0.3" footer="0.3"/>
  <pageSetup scale="48" orientation="portrait"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0" tint="-0.249977111117893"/>
  </sheetPr>
  <dimension ref="A1:T219"/>
  <sheetViews>
    <sheetView showGridLines="0" zoomScale="85" zoomScaleNormal="85" workbookViewId="0">
      <selection activeCell="D123" sqref="D123"/>
    </sheetView>
  </sheetViews>
  <sheetFormatPr defaultColWidth="0" defaultRowHeight="12" customHeight="1" zeroHeight="1"/>
  <cols>
    <col min="1" max="2" width="8.796875" customWidth="1"/>
    <col min="3" max="3" width="13.5" customWidth="1"/>
    <col min="4" max="4" width="9.796875" customWidth="1"/>
    <col min="5" max="7" width="8.796875" customWidth="1"/>
    <col min="8" max="8" width="9.5" customWidth="1"/>
    <col min="9" max="9" width="10.5" customWidth="1"/>
    <col min="10" max="10" width="20.5" customWidth="1"/>
    <col min="11" max="11" width="5.5" customWidth="1"/>
    <col min="12" max="12" width="16.296875" customWidth="1"/>
    <col min="13" max="13" width="13.19921875" customWidth="1"/>
    <col min="14" max="14" width="8.796875" customWidth="1"/>
    <col min="15" max="17" width="8.796875" hidden="1" customWidth="1"/>
    <col min="18" max="18" width="9.296875" hidden="1" customWidth="1"/>
    <col min="19" max="19" width="5" hidden="1" customWidth="1"/>
    <col min="20" max="20" width="8.796875" hidden="1" customWidth="1"/>
    <col min="21" max="16384" width="8.796875" hidden="1"/>
  </cols>
  <sheetData>
    <row r="1" spans="1:20" ht="13">
      <c r="T1" s="220"/>
    </row>
    <row r="2" spans="1:20" ht="13" hidden="1">
      <c r="A2" s="220"/>
      <c r="B2" s="220"/>
      <c r="C2" s="220"/>
      <c r="D2" s="220"/>
      <c r="E2" s="220"/>
      <c r="F2" s="220"/>
      <c r="G2" s="220"/>
      <c r="H2" s="220"/>
      <c r="I2" s="220"/>
      <c r="J2" s="220"/>
      <c r="K2" s="220"/>
      <c r="L2" s="220" t="s">
        <v>416</v>
      </c>
      <c r="M2" s="220"/>
      <c r="N2" s="220"/>
      <c r="O2" s="220"/>
      <c r="P2" s="220"/>
      <c r="Q2" s="220"/>
      <c r="R2" s="220"/>
      <c r="S2" s="220"/>
      <c r="T2" s="220"/>
    </row>
    <row r="3" spans="1:20" ht="18">
      <c r="A3" s="190" t="s">
        <v>216</v>
      </c>
      <c r="B3" s="171"/>
      <c r="C3" s="171"/>
      <c r="D3" s="171"/>
      <c r="E3" s="171"/>
      <c r="F3" s="171"/>
      <c r="G3" s="171"/>
      <c r="H3" s="171"/>
      <c r="I3" s="171"/>
      <c r="J3" s="171"/>
      <c r="K3" s="171"/>
      <c r="L3" s="171"/>
      <c r="M3" s="171"/>
      <c r="N3" s="171"/>
      <c r="T3" s="220"/>
    </row>
    <row r="4" spans="1:20" ht="15" hidden="1" customHeight="1">
      <c r="T4" s="220"/>
    </row>
    <row r="5" spans="1:20" ht="15.5" hidden="1">
      <c r="A5" s="191" t="s">
        <v>232</v>
      </c>
      <c r="B5" s="174"/>
      <c r="C5" s="172"/>
      <c r="D5" s="172"/>
      <c r="E5" s="173"/>
      <c r="F5" s="172"/>
      <c r="G5" s="172"/>
      <c r="H5" s="172"/>
      <c r="I5" s="172"/>
      <c r="J5" s="172"/>
      <c r="K5" s="172"/>
      <c r="L5" s="172"/>
      <c r="M5" s="172"/>
      <c r="N5" s="172"/>
      <c r="T5" s="220"/>
    </row>
    <row r="6" spans="1:20" ht="12" hidden="1" customHeight="1">
      <c r="A6" s="165"/>
      <c r="B6" s="165"/>
      <c r="C6" s="165"/>
      <c r="D6" s="165"/>
      <c r="E6" s="165"/>
      <c r="F6" s="165"/>
      <c r="G6" s="165"/>
      <c r="H6" s="165"/>
      <c r="I6" s="165"/>
      <c r="J6" s="165"/>
      <c r="K6" s="165"/>
      <c r="L6" s="165"/>
      <c r="M6" s="165"/>
      <c r="N6" s="166"/>
      <c r="T6" s="220"/>
    </row>
    <row r="7" spans="1:20" ht="12" hidden="1" customHeight="1">
      <c r="A7" s="47" t="s">
        <v>238</v>
      </c>
      <c r="B7" s="165"/>
      <c r="C7" s="165"/>
      <c r="D7" s="165"/>
      <c r="E7" s="165"/>
      <c r="F7" s="165"/>
      <c r="G7" s="165"/>
      <c r="H7" s="165"/>
      <c r="I7" s="165"/>
      <c r="J7" s="165"/>
      <c r="K7" s="165"/>
      <c r="L7" s="165"/>
      <c r="M7" s="165"/>
      <c r="N7" s="166"/>
      <c r="T7" s="220"/>
    </row>
    <row r="8" spans="1:20" ht="12" hidden="1" customHeight="1">
      <c r="A8" s="47" t="s">
        <v>239</v>
      </c>
      <c r="B8" s="165"/>
      <c r="C8" s="165"/>
      <c r="D8" s="165"/>
      <c r="E8" s="165"/>
      <c r="F8" s="165"/>
      <c r="G8" s="165"/>
      <c r="H8" s="165"/>
      <c r="I8" s="165"/>
      <c r="J8" s="165"/>
      <c r="K8" s="165"/>
      <c r="L8" s="165"/>
      <c r="M8" s="165"/>
      <c r="N8" s="166"/>
      <c r="T8" s="220"/>
    </row>
    <row r="9" spans="1:20" ht="12" hidden="1" customHeight="1">
      <c r="A9" s="47" t="s">
        <v>240</v>
      </c>
      <c r="B9" s="165"/>
      <c r="C9" s="165"/>
      <c r="D9" s="165"/>
      <c r="E9" s="165"/>
      <c r="F9" s="165"/>
      <c r="G9" s="165"/>
      <c r="H9" s="165"/>
      <c r="I9" s="165"/>
      <c r="J9" s="165"/>
      <c r="K9" s="165"/>
      <c r="L9" s="165"/>
      <c r="M9" s="165"/>
      <c r="N9" s="166"/>
      <c r="T9" s="220"/>
    </row>
    <row r="10" spans="1:20" ht="12" hidden="1" customHeight="1">
      <c r="A10" s="47" t="s">
        <v>241</v>
      </c>
      <c r="B10" s="165"/>
      <c r="C10" s="165"/>
      <c r="D10" s="165"/>
      <c r="E10" s="165"/>
      <c r="F10" s="165"/>
      <c r="G10" s="165"/>
      <c r="H10" s="165"/>
      <c r="I10" s="165"/>
      <c r="J10" s="165"/>
      <c r="K10" s="165"/>
      <c r="L10" s="165"/>
      <c r="M10" s="165"/>
      <c r="N10" s="166"/>
      <c r="T10" s="220"/>
    </row>
    <row r="11" spans="1:20" ht="12" hidden="1" customHeight="1">
      <c r="A11" s="91"/>
      <c r="B11" s="91"/>
      <c r="C11" s="91"/>
      <c r="D11" s="91"/>
      <c r="E11" s="91"/>
      <c r="F11" s="91"/>
      <c r="G11" s="91"/>
      <c r="H11" s="91"/>
      <c r="I11" s="91"/>
      <c r="J11" s="91"/>
      <c r="K11" s="91"/>
      <c r="L11" s="91"/>
      <c r="M11" s="165"/>
      <c r="N11" s="166"/>
      <c r="T11" s="220"/>
    </row>
    <row r="12" spans="1:20" ht="15.5" hidden="1">
      <c r="A12" s="163" t="str">
        <f>CONCATENATE("PLEASE NOTE: In order to qualify for FFY ",Year," Medicaid disproportionate share payments as a small rural hospital, the hospital must")</f>
        <v>PLEASE NOTE: In order to qualify for FFY 2022 Medicaid disproportionate share payments as a small rural hospital, the hospital must</v>
      </c>
      <c r="B12" s="181"/>
      <c r="C12" s="181"/>
      <c r="D12" s="181"/>
      <c r="E12" s="181"/>
      <c r="F12" s="181"/>
      <c r="G12" s="181"/>
      <c r="H12" s="181"/>
      <c r="I12" s="181"/>
      <c r="J12" s="181"/>
      <c r="K12" s="181"/>
      <c r="L12" s="181"/>
      <c r="M12" s="165"/>
      <c r="N12" s="166"/>
      <c r="T12" s="220"/>
    </row>
    <row r="13" spans="1:20" ht="15.5" hidden="1">
      <c r="A13" s="163" t="s">
        <v>355</v>
      </c>
      <c r="B13" s="181"/>
      <c r="C13" s="181"/>
      <c r="D13" s="181"/>
      <c r="E13" s="181"/>
      <c r="F13" s="181"/>
      <c r="G13" s="181"/>
      <c r="H13" s="181"/>
      <c r="I13" s="181"/>
      <c r="J13" s="181"/>
      <c r="K13" s="181"/>
      <c r="L13" s="181"/>
      <c r="M13" s="165"/>
      <c r="N13" s="166"/>
      <c r="T13" s="220"/>
    </row>
    <row r="14" spans="1:20" ht="15.5" hidden="1">
      <c r="A14" s="163" t="s">
        <v>348</v>
      </c>
      <c r="B14" s="181"/>
      <c r="C14" s="181"/>
      <c r="D14" s="181"/>
      <c r="E14" s="181"/>
      <c r="F14" s="181"/>
      <c r="G14" s="181"/>
      <c r="H14" s="181"/>
      <c r="I14" s="181"/>
      <c r="J14" s="181"/>
      <c r="K14" s="181"/>
      <c r="L14" s="181"/>
      <c r="M14" s="165"/>
      <c r="N14" s="166"/>
      <c r="T14" s="220"/>
    </row>
    <row r="15" spans="1:20" ht="12" hidden="1" customHeight="1">
      <c r="A15" s="133"/>
      <c r="B15" s="181"/>
      <c r="C15" s="181"/>
      <c r="D15" s="181"/>
      <c r="E15" s="181"/>
      <c r="F15" s="181"/>
      <c r="G15" s="181"/>
      <c r="H15" s="181"/>
      <c r="I15" s="181"/>
      <c r="J15" s="181"/>
      <c r="K15" s="181"/>
      <c r="L15" s="181"/>
      <c r="M15" s="165"/>
      <c r="N15" s="166"/>
      <c r="T15" s="220"/>
    </row>
    <row r="16" spans="1:20" ht="13" hidden="1">
      <c r="A16" s="385" t="str">
        <f>IF(OR($L$77="No", $L$79="No"),"Per responses to questions 14 and 15 below, your facility does not qualify for a small rural DSH payment for SFY 2019. You are still required to complete the UCC survey and submit to Myers and Stauffer, along with all required supporting documentation.","")</f>
        <v/>
      </c>
      <c r="B16" s="385"/>
      <c r="C16" s="385"/>
      <c r="D16" s="385"/>
      <c r="E16" s="385"/>
      <c r="F16" s="385"/>
      <c r="G16" s="385"/>
      <c r="H16" s="385"/>
      <c r="I16" s="385"/>
      <c r="J16" s="385"/>
      <c r="K16" s="181"/>
      <c r="L16" s="181"/>
      <c r="M16" s="165"/>
      <c r="N16" s="166"/>
      <c r="T16" s="220"/>
    </row>
    <row r="17" spans="1:20" ht="13" hidden="1">
      <c r="A17" s="385"/>
      <c r="B17" s="385"/>
      <c r="C17" s="385"/>
      <c r="D17" s="385"/>
      <c r="E17" s="385"/>
      <c r="F17" s="385"/>
      <c r="G17" s="385"/>
      <c r="H17" s="385"/>
      <c r="I17" s="385"/>
      <c r="J17" s="385"/>
      <c r="K17" s="181"/>
      <c r="L17" s="181"/>
      <c r="M17" s="165"/>
      <c r="N17" s="166"/>
      <c r="T17" s="220"/>
    </row>
    <row r="18" spans="1:20" ht="13" hidden="1">
      <c r="A18" s="385"/>
      <c r="B18" s="385"/>
      <c r="C18" s="385"/>
      <c r="D18" s="385"/>
      <c r="E18" s="385"/>
      <c r="F18" s="385"/>
      <c r="G18" s="385"/>
      <c r="H18" s="385"/>
      <c r="I18" s="385"/>
      <c r="J18" s="385"/>
      <c r="K18" s="181"/>
      <c r="L18" s="181"/>
      <c r="M18" s="165"/>
      <c r="N18" s="166"/>
      <c r="T18" s="220"/>
    </row>
    <row r="19" spans="1:20" ht="13" hidden="1">
      <c r="A19" s="385"/>
      <c r="B19" s="385"/>
      <c r="C19" s="385"/>
      <c r="D19" s="385"/>
      <c r="E19" s="385"/>
      <c r="F19" s="385"/>
      <c r="G19" s="385"/>
      <c r="H19" s="385"/>
      <c r="I19" s="385"/>
      <c r="J19" s="385"/>
      <c r="K19" s="181"/>
      <c r="L19" s="181"/>
      <c r="M19" s="165"/>
      <c r="N19" s="166"/>
      <c r="T19" s="220"/>
    </row>
    <row r="20" spans="1:20" ht="26.5" hidden="1" thickBot="1">
      <c r="A20" s="385"/>
      <c r="B20" s="385"/>
      <c r="C20" s="385"/>
      <c r="D20" s="385"/>
      <c r="E20" s="385"/>
      <c r="F20" s="385"/>
      <c r="G20" s="385"/>
      <c r="H20" s="385"/>
      <c r="I20" s="385"/>
      <c r="J20" s="385"/>
      <c r="K20" s="165"/>
      <c r="L20" s="123" t="s">
        <v>217</v>
      </c>
      <c r="M20" s="165"/>
      <c r="N20" s="166"/>
      <c r="T20" s="220"/>
    </row>
    <row r="21" spans="1:20" ht="12" hidden="1" customHeight="1">
      <c r="A21" s="163"/>
      <c r="B21" s="91"/>
      <c r="C21" s="91"/>
      <c r="D21" s="91"/>
      <c r="E21" s="91"/>
      <c r="F21" s="91"/>
      <c r="G21" s="91"/>
      <c r="H21" s="91"/>
      <c r="I21" s="165"/>
      <c r="J21" s="165"/>
      <c r="K21" s="165"/>
      <c r="L21" s="166"/>
      <c r="M21" s="165"/>
      <c r="N21" s="166"/>
      <c r="T21" s="220"/>
    </row>
    <row r="22" spans="1:20" ht="12" hidden="1" customHeight="1">
      <c r="A22" s="327">
        <v>1</v>
      </c>
      <c r="B22" s="47" t="s">
        <v>266</v>
      </c>
      <c r="C22" s="47"/>
      <c r="D22" s="47"/>
      <c r="E22" s="47"/>
      <c r="F22" s="47"/>
      <c r="G22" s="47"/>
      <c r="H22" s="47"/>
      <c r="I22" s="165"/>
      <c r="J22" s="165"/>
      <c r="K22" s="165"/>
      <c r="L22" s="265"/>
      <c r="M22" s="165"/>
      <c r="N22" s="167"/>
      <c r="T22" s="220" t="s">
        <v>417</v>
      </c>
    </row>
    <row r="23" spans="1:20" ht="12" hidden="1" customHeight="1">
      <c r="A23" s="327"/>
      <c r="B23" s="47" t="s">
        <v>267</v>
      </c>
      <c r="C23" s="5"/>
      <c r="D23" s="5"/>
      <c r="E23" s="164"/>
      <c r="F23" s="5"/>
      <c r="G23" s="5"/>
      <c r="H23" s="5"/>
      <c r="I23" s="5"/>
      <c r="J23" s="5"/>
      <c r="K23" s="5"/>
      <c r="L23" s="5"/>
      <c r="M23" s="5"/>
      <c r="N23" s="5"/>
      <c r="T23" s="220"/>
    </row>
    <row r="24" spans="1:20" ht="12" hidden="1" customHeight="1">
      <c r="A24" s="327"/>
      <c r="B24" s="47" t="s">
        <v>268</v>
      </c>
      <c r="C24" s="5"/>
      <c r="D24" s="5"/>
      <c r="E24" s="164"/>
      <c r="F24" s="5"/>
      <c r="G24" s="5"/>
      <c r="H24" s="5"/>
      <c r="I24" s="5"/>
      <c r="J24" s="5"/>
      <c r="K24" s="5"/>
      <c r="L24" s="5"/>
      <c r="M24" s="5"/>
      <c r="N24" s="5"/>
      <c r="T24" s="220"/>
    </row>
    <row r="25" spans="1:20" ht="12" hidden="1" customHeight="1">
      <c r="A25" s="327"/>
      <c r="B25" s="5"/>
      <c r="C25" s="5"/>
      <c r="D25" s="5"/>
      <c r="E25" s="164"/>
      <c r="F25" s="5"/>
      <c r="G25" s="5"/>
      <c r="H25" s="5"/>
      <c r="I25" s="5"/>
      <c r="J25" s="5"/>
      <c r="K25" s="5"/>
      <c r="L25" s="5"/>
      <c r="M25" s="5"/>
      <c r="N25" s="5"/>
      <c r="T25" s="220"/>
    </row>
    <row r="26" spans="1:20" ht="12" hidden="1" customHeight="1">
      <c r="A26" s="327">
        <v>2</v>
      </c>
      <c r="B26" s="47" t="s">
        <v>269</v>
      </c>
      <c r="C26" s="5"/>
      <c r="D26" s="5"/>
      <c r="E26" s="164"/>
      <c r="F26" s="5"/>
      <c r="G26" s="5"/>
      <c r="H26" s="5"/>
      <c r="I26" s="5"/>
      <c r="J26" s="5"/>
      <c r="K26" s="5"/>
      <c r="L26" s="265"/>
      <c r="M26" s="5"/>
      <c r="N26" s="5"/>
      <c r="T26" s="220" t="s">
        <v>418</v>
      </c>
    </row>
    <row r="27" spans="1:20" ht="12" hidden="1" customHeight="1">
      <c r="A27" s="327"/>
      <c r="B27" s="47" t="s">
        <v>270</v>
      </c>
      <c r="C27" s="5"/>
      <c r="D27" s="5"/>
      <c r="E27" s="164"/>
      <c r="F27" s="5"/>
      <c r="G27" s="5"/>
      <c r="H27" s="5"/>
      <c r="I27" s="5"/>
      <c r="J27" s="5"/>
      <c r="K27" s="5"/>
      <c r="L27" s="5"/>
      <c r="M27" s="5"/>
      <c r="N27" s="5"/>
      <c r="T27" s="220"/>
    </row>
    <row r="28" spans="1:20" ht="12" hidden="1" customHeight="1">
      <c r="A28" s="327"/>
      <c r="B28" s="47" t="s">
        <v>271</v>
      </c>
      <c r="C28" s="5"/>
      <c r="D28" s="5"/>
      <c r="E28" s="164"/>
      <c r="F28" s="5"/>
      <c r="G28" s="5"/>
      <c r="H28" s="5"/>
      <c r="I28" s="5"/>
      <c r="J28" s="5"/>
      <c r="K28" s="5"/>
      <c r="L28" s="5"/>
      <c r="M28" s="5"/>
      <c r="N28" s="5"/>
      <c r="T28" s="220"/>
    </row>
    <row r="29" spans="1:20" ht="12" hidden="1" customHeight="1">
      <c r="A29" s="327"/>
      <c r="B29" s="47" t="s">
        <v>272</v>
      </c>
      <c r="C29" s="5"/>
      <c r="D29" s="5"/>
      <c r="E29" s="164"/>
      <c r="F29" s="5"/>
      <c r="G29" s="5"/>
      <c r="H29" s="5"/>
      <c r="I29" s="5"/>
      <c r="J29" s="5"/>
      <c r="K29" s="5"/>
      <c r="L29" s="5"/>
      <c r="M29" s="5"/>
      <c r="N29" s="5"/>
      <c r="T29" s="220"/>
    </row>
    <row r="30" spans="1:20" ht="12" hidden="1" customHeight="1">
      <c r="A30" s="327"/>
      <c r="B30" s="47" t="s">
        <v>273</v>
      </c>
      <c r="C30" s="5"/>
      <c r="D30" s="5"/>
      <c r="E30" s="164"/>
      <c r="F30" s="5"/>
      <c r="G30" s="5"/>
      <c r="H30" s="5"/>
      <c r="I30" s="5"/>
      <c r="J30" s="5"/>
      <c r="K30" s="5"/>
      <c r="L30" s="5"/>
      <c r="M30" s="5"/>
      <c r="N30" s="5"/>
      <c r="T30" s="220"/>
    </row>
    <row r="31" spans="1:20" ht="12" hidden="1" customHeight="1">
      <c r="A31" s="327"/>
      <c r="B31" s="47"/>
      <c r="C31" s="5"/>
      <c r="D31" s="5"/>
      <c r="E31" s="164"/>
      <c r="F31" s="5"/>
      <c r="G31" s="5"/>
      <c r="H31" s="5"/>
      <c r="I31" s="5"/>
      <c r="J31" s="5"/>
      <c r="K31" s="5"/>
      <c r="L31" s="5"/>
      <c r="M31" s="5"/>
      <c r="N31" s="5"/>
      <c r="T31" s="220"/>
    </row>
    <row r="32" spans="1:20" ht="12" hidden="1" customHeight="1">
      <c r="A32" s="327">
        <v>3</v>
      </c>
      <c r="B32" s="47" t="s">
        <v>274</v>
      </c>
      <c r="C32" s="47"/>
      <c r="D32" s="47"/>
      <c r="E32" s="47"/>
      <c r="F32" s="47"/>
      <c r="G32" s="47"/>
      <c r="H32" s="47"/>
      <c r="I32" s="165"/>
      <c r="J32" s="165"/>
      <c r="K32" s="165"/>
      <c r="L32" s="265"/>
      <c r="M32" s="165"/>
      <c r="N32" s="167"/>
      <c r="T32" s="220" t="s">
        <v>419</v>
      </c>
    </row>
    <row r="33" spans="1:20" ht="12" hidden="1" customHeight="1">
      <c r="A33" s="327"/>
      <c r="B33" s="47" t="s">
        <v>276</v>
      </c>
      <c r="C33" s="47"/>
      <c r="D33" s="47"/>
      <c r="E33" s="47"/>
      <c r="F33" s="47"/>
      <c r="G33" s="47"/>
      <c r="H33" s="47"/>
      <c r="I33" s="165"/>
      <c r="J33" s="165"/>
      <c r="K33" s="165"/>
      <c r="L33" s="167"/>
      <c r="M33" s="165"/>
      <c r="N33" s="167"/>
      <c r="T33" s="220"/>
    </row>
    <row r="34" spans="1:20" ht="12" hidden="1" customHeight="1">
      <c r="A34" s="327"/>
      <c r="B34" s="47" t="s">
        <v>275</v>
      </c>
      <c r="C34" s="47"/>
      <c r="D34" s="47"/>
      <c r="E34" s="47"/>
      <c r="F34" s="47"/>
      <c r="G34" s="47"/>
      <c r="H34" s="47"/>
      <c r="I34" s="165"/>
      <c r="J34" s="165"/>
      <c r="K34" s="165"/>
      <c r="L34" s="167"/>
      <c r="M34" s="165"/>
      <c r="N34" s="167"/>
      <c r="T34" s="220"/>
    </row>
    <row r="35" spans="1:20" ht="12" hidden="1" customHeight="1">
      <c r="A35" s="327"/>
      <c r="B35" s="47"/>
      <c r="C35" s="47"/>
      <c r="D35" s="47"/>
      <c r="E35" s="47"/>
      <c r="F35" s="47"/>
      <c r="G35" s="47"/>
      <c r="H35" s="47"/>
      <c r="I35" s="165"/>
      <c r="J35" s="165"/>
      <c r="K35" s="165"/>
      <c r="L35" s="167"/>
      <c r="M35" s="165"/>
      <c r="N35" s="167"/>
      <c r="T35" s="220"/>
    </row>
    <row r="36" spans="1:20" ht="12" hidden="1" customHeight="1">
      <c r="A36" s="327">
        <v>4</v>
      </c>
      <c r="B36" s="47" t="s">
        <v>274</v>
      </c>
      <c r="C36" s="47"/>
      <c r="D36" s="47"/>
      <c r="E36" s="47"/>
      <c r="F36" s="47"/>
      <c r="G36" s="47"/>
      <c r="H36" s="47"/>
      <c r="I36" s="165"/>
      <c r="J36" s="165"/>
      <c r="K36" s="165"/>
      <c r="L36" s="265"/>
      <c r="M36" s="165"/>
      <c r="N36" s="167"/>
      <c r="T36" s="220" t="s">
        <v>420</v>
      </c>
    </row>
    <row r="37" spans="1:20" ht="12" hidden="1" customHeight="1">
      <c r="A37" s="327"/>
      <c r="B37" s="47" t="s">
        <v>277</v>
      </c>
      <c r="C37" s="47"/>
      <c r="D37" s="47"/>
      <c r="E37" s="47"/>
      <c r="F37" s="47"/>
      <c r="G37" s="47"/>
      <c r="H37" s="47"/>
      <c r="I37" s="165"/>
      <c r="J37" s="165"/>
      <c r="K37" s="165"/>
      <c r="L37" s="167"/>
      <c r="M37" s="165"/>
      <c r="N37" s="167"/>
      <c r="T37" s="220"/>
    </row>
    <row r="38" spans="1:20" ht="12" hidden="1" customHeight="1">
      <c r="A38" s="327"/>
      <c r="B38" s="47" t="s">
        <v>278</v>
      </c>
      <c r="C38" s="47"/>
      <c r="D38" s="47"/>
      <c r="E38" s="47"/>
      <c r="F38" s="47"/>
      <c r="G38" s="47"/>
      <c r="H38" s="47"/>
      <c r="I38" s="165"/>
      <c r="J38" s="165"/>
      <c r="K38" s="165"/>
      <c r="L38" s="167"/>
      <c r="M38" s="165"/>
      <c r="N38" s="167"/>
      <c r="T38" s="220"/>
    </row>
    <row r="39" spans="1:20" ht="12" hidden="1" customHeight="1">
      <c r="A39" s="327"/>
      <c r="B39" s="5"/>
      <c r="C39" s="5"/>
      <c r="D39" s="5"/>
      <c r="E39" s="164"/>
      <c r="F39" s="5"/>
      <c r="G39" s="5"/>
      <c r="H39" s="5"/>
      <c r="I39" s="5"/>
      <c r="J39" s="5"/>
      <c r="K39" s="5"/>
      <c r="L39" s="5"/>
      <c r="M39" s="5"/>
      <c r="N39" s="5"/>
      <c r="T39" s="220"/>
    </row>
    <row r="40" spans="1:20" ht="12" hidden="1" customHeight="1">
      <c r="A40" s="327">
        <v>5</v>
      </c>
      <c r="B40" s="47" t="s">
        <v>279</v>
      </c>
      <c r="L40" s="265"/>
      <c r="T40" s="220" t="s">
        <v>421</v>
      </c>
    </row>
    <row r="41" spans="1:20" ht="12" hidden="1" customHeight="1">
      <c r="A41" s="327"/>
      <c r="B41" s="47" t="s">
        <v>280</v>
      </c>
      <c r="C41" s="5"/>
      <c r="D41" s="5"/>
      <c r="E41" s="164"/>
      <c r="F41" s="5"/>
      <c r="G41" s="5"/>
      <c r="H41" s="5"/>
      <c r="I41" s="5"/>
      <c r="J41" s="5"/>
      <c r="K41" s="5"/>
      <c r="L41" s="5"/>
      <c r="M41" s="5"/>
      <c r="N41" s="5"/>
      <c r="T41" s="220"/>
    </row>
    <row r="42" spans="1:20" ht="12" hidden="1" customHeight="1">
      <c r="A42" s="327"/>
      <c r="B42" s="47"/>
      <c r="T42" s="220"/>
    </row>
    <row r="43" spans="1:20" ht="12" hidden="1" customHeight="1">
      <c r="A43" s="327">
        <v>6</v>
      </c>
      <c r="B43" s="47" t="s">
        <v>281</v>
      </c>
      <c r="C43" s="47"/>
      <c r="L43" s="265"/>
      <c r="T43" s="220" t="s">
        <v>422</v>
      </c>
    </row>
    <row r="44" spans="1:20" ht="12" hidden="1" customHeight="1">
      <c r="A44" s="327"/>
      <c r="B44" s="47" t="s">
        <v>282</v>
      </c>
      <c r="T44" s="220"/>
    </row>
    <row r="45" spans="1:20" ht="12" hidden="1" customHeight="1">
      <c r="A45" s="327"/>
      <c r="C45" s="47"/>
      <c r="D45" s="47"/>
      <c r="E45" s="47"/>
      <c r="F45" s="47"/>
      <c r="G45" s="47"/>
      <c r="H45" s="47"/>
      <c r="I45" s="165"/>
      <c r="J45" s="165"/>
      <c r="K45" s="165"/>
      <c r="M45" s="165"/>
      <c r="N45" s="167"/>
      <c r="T45" s="220"/>
    </row>
    <row r="46" spans="1:20" ht="12" hidden="1" customHeight="1">
      <c r="A46" s="327">
        <v>7</v>
      </c>
      <c r="B46" s="47" t="s">
        <v>283</v>
      </c>
      <c r="C46" s="165"/>
      <c r="D46" s="47"/>
      <c r="E46" s="47"/>
      <c r="F46" s="47"/>
      <c r="G46" s="47"/>
      <c r="H46" s="47"/>
      <c r="I46" s="165"/>
      <c r="J46" s="165"/>
      <c r="K46" s="165"/>
      <c r="L46" s="265"/>
      <c r="M46" s="165"/>
      <c r="N46" s="167"/>
      <c r="T46" s="220" t="s">
        <v>423</v>
      </c>
    </row>
    <row r="47" spans="1:20" ht="12" hidden="1" customHeight="1">
      <c r="A47" s="327"/>
      <c r="B47" s="47" t="s">
        <v>284</v>
      </c>
      <c r="C47" s="47"/>
      <c r="D47" s="47"/>
      <c r="E47" s="47"/>
      <c r="F47" s="47"/>
      <c r="G47" s="47"/>
      <c r="H47" s="47"/>
      <c r="I47" s="165"/>
      <c r="J47" s="165"/>
      <c r="K47" s="165"/>
      <c r="M47" s="165"/>
      <c r="N47" s="167"/>
      <c r="T47" s="220"/>
    </row>
    <row r="48" spans="1:20" ht="12" hidden="1" customHeight="1">
      <c r="A48" s="327"/>
      <c r="B48" s="47" t="s">
        <v>285</v>
      </c>
      <c r="C48" s="47"/>
      <c r="D48" s="47"/>
      <c r="E48" s="47"/>
      <c r="F48" s="47"/>
      <c r="G48" s="47"/>
      <c r="H48" s="47"/>
      <c r="I48" s="165"/>
      <c r="J48" s="165"/>
      <c r="K48" s="165"/>
      <c r="M48" s="165"/>
      <c r="N48" s="167"/>
      <c r="T48" s="220"/>
    </row>
    <row r="49" spans="1:20" ht="12" hidden="1" customHeight="1">
      <c r="A49" s="327"/>
      <c r="B49" s="47" t="s">
        <v>286</v>
      </c>
      <c r="C49" s="5"/>
      <c r="D49" s="5"/>
      <c r="E49" s="164"/>
      <c r="F49" s="5"/>
      <c r="G49" s="5"/>
      <c r="H49" s="5"/>
      <c r="I49" s="5"/>
      <c r="J49" s="5"/>
      <c r="K49" s="5"/>
      <c r="L49" s="5"/>
      <c r="M49" s="5"/>
      <c r="N49" s="5"/>
      <c r="T49" s="220"/>
    </row>
    <row r="50" spans="1:20" ht="12" hidden="1" customHeight="1">
      <c r="A50" s="327"/>
      <c r="B50" s="5"/>
      <c r="C50" s="5"/>
      <c r="D50" s="5"/>
      <c r="E50" s="164"/>
      <c r="F50" s="5"/>
      <c r="G50" s="5"/>
      <c r="H50" s="5"/>
      <c r="I50" s="5"/>
      <c r="J50" s="5"/>
      <c r="K50" s="5"/>
      <c r="L50" s="5"/>
      <c r="M50" s="5"/>
      <c r="N50" s="5"/>
      <c r="T50" s="220"/>
    </row>
    <row r="51" spans="1:20" ht="12" hidden="1" customHeight="1">
      <c r="A51" s="327">
        <v>8</v>
      </c>
      <c r="B51" s="47" t="s">
        <v>287</v>
      </c>
      <c r="D51" s="165"/>
      <c r="E51" s="165"/>
      <c r="F51" s="165"/>
      <c r="G51" s="165"/>
      <c r="H51" s="165"/>
      <c r="I51" s="165"/>
      <c r="J51" s="165"/>
      <c r="K51" s="165"/>
      <c r="L51" s="265"/>
      <c r="M51" s="165"/>
      <c r="N51" s="167"/>
      <c r="T51" s="220" t="s">
        <v>424</v>
      </c>
    </row>
    <row r="52" spans="1:20" ht="12" hidden="1" customHeight="1">
      <c r="A52" s="327"/>
      <c r="B52" s="47" t="s">
        <v>288</v>
      </c>
      <c r="D52" s="165"/>
      <c r="E52" s="165"/>
      <c r="F52" s="165"/>
      <c r="G52" s="165"/>
      <c r="H52" s="165"/>
      <c r="I52" s="165"/>
      <c r="J52" s="165"/>
      <c r="K52" s="165"/>
      <c r="M52" s="165"/>
      <c r="N52" s="167"/>
      <c r="T52" s="220"/>
    </row>
    <row r="53" spans="1:20" ht="12" hidden="1" customHeight="1">
      <c r="A53" s="327"/>
      <c r="B53" s="47" t="s">
        <v>289</v>
      </c>
      <c r="D53" s="165"/>
      <c r="E53" s="165"/>
      <c r="F53" s="165"/>
      <c r="G53" s="165"/>
      <c r="H53" s="165"/>
      <c r="I53" s="165"/>
      <c r="J53" s="165"/>
      <c r="K53" s="165"/>
      <c r="M53" s="165"/>
      <c r="N53" s="167"/>
      <c r="T53" s="220"/>
    </row>
    <row r="54" spans="1:20" ht="12" hidden="1" customHeight="1">
      <c r="A54" s="327"/>
      <c r="B54" s="47" t="s">
        <v>290</v>
      </c>
      <c r="D54" s="165"/>
      <c r="E54" s="165"/>
      <c r="F54" s="165"/>
      <c r="G54" s="165"/>
      <c r="H54" s="165"/>
      <c r="I54" s="165"/>
      <c r="J54" s="165"/>
      <c r="K54" s="165"/>
      <c r="M54" s="165"/>
      <c r="N54" s="167"/>
      <c r="T54" s="220"/>
    </row>
    <row r="55" spans="1:20" ht="12" hidden="1" customHeight="1">
      <c r="A55" s="327"/>
      <c r="C55" s="47"/>
      <c r="D55" s="47"/>
      <c r="E55" s="47"/>
      <c r="F55" s="47"/>
      <c r="G55" s="47"/>
      <c r="H55" s="47"/>
      <c r="I55" s="165"/>
      <c r="J55" s="165"/>
      <c r="K55" s="165"/>
      <c r="M55" s="165"/>
      <c r="N55" s="167"/>
      <c r="T55" s="220"/>
    </row>
    <row r="56" spans="1:20" ht="12" hidden="1" customHeight="1">
      <c r="A56" s="327">
        <v>9</v>
      </c>
      <c r="B56" s="47" t="s">
        <v>291</v>
      </c>
      <c r="C56" s="47"/>
      <c r="D56" s="47"/>
      <c r="E56" s="47"/>
      <c r="F56" s="47"/>
      <c r="G56" s="47"/>
      <c r="H56" s="47"/>
      <c r="I56" s="165"/>
      <c r="J56" s="165"/>
      <c r="K56" s="165"/>
      <c r="L56" s="265"/>
      <c r="M56" s="165"/>
      <c r="N56" s="167"/>
      <c r="T56" s="220" t="s">
        <v>425</v>
      </c>
    </row>
    <row r="57" spans="1:20" ht="12" hidden="1" customHeight="1">
      <c r="A57" s="327"/>
      <c r="B57" s="47" t="s">
        <v>292</v>
      </c>
      <c r="C57" s="47"/>
      <c r="D57" s="47"/>
      <c r="E57" s="47"/>
      <c r="F57" s="47"/>
      <c r="G57" s="47"/>
      <c r="H57" s="47"/>
      <c r="I57" s="165"/>
      <c r="J57" s="165"/>
      <c r="K57" s="165"/>
      <c r="M57" s="165"/>
      <c r="N57" s="167"/>
      <c r="T57" s="220"/>
    </row>
    <row r="58" spans="1:20" ht="12" hidden="1" customHeight="1">
      <c r="A58" s="327"/>
      <c r="B58" s="47" t="s">
        <v>293</v>
      </c>
      <c r="C58" s="47"/>
      <c r="D58" s="47"/>
      <c r="E58" s="47"/>
      <c r="F58" s="47"/>
      <c r="G58" s="47"/>
      <c r="H58" s="47"/>
      <c r="I58" s="165"/>
      <c r="J58" s="165"/>
      <c r="K58" s="165"/>
      <c r="M58" s="165"/>
      <c r="N58" s="167"/>
      <c r="T58" s="220"/>
    </row>
    <row r="59" spans="1:20" ht="12" hidden="1" customHeight="1">
      <c r="A59" s="327"/>
      <c r="B59" s="47" t="s">
        <v>294</v>
      </c>
      <c r="C59" s="47"/>
      <c r="D59" s="47"/>
      <c r="E59" s="47"/>
      <c r="F59" s="47"/>
      <c r="G59" s="47"/>
      <c r="H59" s="47"/>
      <c r="I59" s="165"/>
      <c r="J59" s="165"/>
      <c r="K59" s="165"/>
      <c r="M59" s="165"/>
      <c r="N59" s="167"/>
      <c r="T59" s="220"/>
    </row>
    <row r="60" spans="1:20" ht="12" hidden="1" customHeight="1">
      <c r="A60" s="327"/>
      <c r="C60" s="47"/>
      <c r="D60" s="47"/>
      <c r="E60" s="47"/>
      <c r="F60" s="47"/>
      <c r="G60" s="47"/>
      <c r="H60" s="47"/>
      <c r="I60" s="165"/>
      <c r="J60" s="165"/>
      <c r="K60" s="165"/>
      <c r="M60" s="165"/>
      <c r="N60" s="167"/>
      <c r="T60" s="220"/>
    </row>
    <row r="61" spans="1:20" ht="12" hidden="1" customHeight="1">
      <c r="A61" s="327">
        <v>10</v>
      </c>
      <c r="B61" s="47" t="s">
        <v>295</v>
      </c>
      <c r="C61" s="5"/>
      <c r="D61" s="5"/>
      <c r="E61" s="164"/>
      <c r="F61" s="5"/>
      <c r="G61" s="5"/>
      <c r="H61" s="5"/>
      <c r="I61" s="5"/>
      <c r="J61" s="5"/>
      <c r="K61" s="5"/>
      <c r="L61" s="265"/>
      <c r="M61" s="5"/>
      <c r="N61" s="5"/>
      <c r="T61" s="220" t="s">
        <v>426</v>
      </c>
    </row>
    <row r="62" spans="1:20" ht="12" hidden="1" customHeight="1">
      <c r="A62" s="327"/>
      <c r="B62" s="47" t="s">
        <v>297</v>
      </c>
      <c r="D62" s="47"/>
      <c r="E62" s="47"/>
      <c r="F62" s="47"/>
      <c r="G62" s="47"/>
      <c r="H62" s="47"/>
      <c r="I62" s="165"/>
      <c r="J62" s="165"/>
      <c r="K62" s="165"/>
      <c r="M62" s="165"/>
      <c r="N62" s="167"/>
      <c r="T62" s="220"/>
    </row>
    <row r="63" spans="1:20" ht="12" hidden="1" customHeight="1">
      <c r="A63" s="327"/>
      <c r="B63" s="47" t="s">
        <v>296</v>
      </c>
      <c r="C63" s="5"/>
      <c r="D63" s="5"/>
      <c r="E63" s="164"/>
      <c r="F63" s="5"/>
      <c r="G63" s="5"/>
      <c r="H63" s="5"/>
      <c r="I63" s="5"/>
      <c r="J63" s="5"/>
      <c r="K63" s="5"/>
      <c r="L63" s="5"/>
      <c r="M63" s="5"/>
      <c r="N63" s="5"/>
      <c r="T63" s="220"/>
    </row>
    <row r="64" spans="1:20" ht="12" hidden="1" customHeight="1">
      <c r="A64" s="327"/>
      <c r="C64" s="47"/>
      <c r="D64" s="47"/>
      <c r="E64" s="47"/>
      <c r="F64" s="47"/>
      <c r="G64" s="47"/>
      <c r="H64" s="47"/>
      <c r="I64" s="165"/>
      <c r="J64" s="165"/>
      <c r="K64" s="165"/>
      <c r="M64" s="165"/>
      <c r="N64" s="167"/>
      <c r="T64" s="220"/>
    </row>
    <row r="65" spans="1:20" ht="12" hidden="1" customHeight="1">
      <c r="A65" s="327">
        <v>11</v>
      </c>
      <c r="B65" s="47" t="s">
        <v>298</v>
      </c>
      <c r="C65" s="47"/>
      <c r="D65" s="47"/>
      <c r="E65" s="47"/>
      <c r="F65" s="47"/>
      <c r="G65" s="47"/>
      <c r="H65" s="47"/>
      <c r="I65" s="165"/>
      <c r="J65" s="165"/>
      <c r="K65" s="165"/>
      <c r="L65" s="265"/>
      <c r="M65" s="165"/>
      <c r="N65" s="167"/>
      <c r="T65" s="220" t="s">
        <v>427</v>
      </c>
    </row>
    <row r="66" spans="1:20" ht="12" hidden="1" customHeight="1">
      <c r="A66" s="327"/>
      <c r="B66" s="47" t="s">
        <v>299</v>
      </c>
      <c r="C66" s="47"/>
      <c r="D66" s="47"/>
      <c r="E66" s="47"/>
      <c r="F66" s="47"/>
      <c r="G66" s="47"/>
      <c r="H66" s="47"/>
      <c r="I66" s="165"/>
      <c r="J66" s="165"/>
      <c r="K66" s="165"/>
      <c r="M66" s="165"/>
      <c r="N66" s="167"/>
      <c r="T66" s="220"/>
    </row>
    <row r="67" spans="1:20" ht="12" hidden="1" customHeight="1">
      <c r="A67" s="327"/>
      <c r="B67" s="47" t="s">
        <v>300</v>
      </c>
      <c r="C67" s="47"/>
      <c r="D67" s="47"/>
      <c r="E67" s="47"/>
      <c r="F67" s="47"/>
      <c r="G67" s="47"/>
      <c r="H67" s="47"/>
      <c r="I67" s="165"/>
      <c r="J67" s="165"/>
      <c r="K67" s="165"/>
      <c r="M67" s="165"/>
      <c r="N67" s="167"/>
      <c r="T67" s="220"/>
    </row>
    <row r="68" spans="1:20" ht="12" hidden="1" customHeight="1">
      <c r="A68" s="327"/>
      <c r="B68" s="5"/>
      <c r="C68" s="5"/>
      <c r="D68" s="5"/>
      <c r="E68" s="164"/>
      <c r="F68" s="5"/>
      <c r="G68" s="5"/>
      <c r="H68" s="5"/>
      <c r="I68" s="5"/>
      <c r="J68" s="5"/>
      <c r="K68" s="5"/>
      <c r="L68" s="5"/>
      <c r="M68" s="5"/>
      <c r="N68" s="5"/>
      <c r="T68" s="220"/>
    </row>
    <row r="69" spans="1:20" ht="12" hidden="1" customHeight="1">
      <c r="A69" s="327">
        <v>12</v>
      </c>
      <c r="B69" s="47" t="s">
        <v>301</v>
      </c>
      <c r="C69" s="5"/>
      <c r="D69" s="5"/>
      <c r="E69" s="164"/>
      <c r="F69" s="5"/>
      <c r="G69" s="5"/>
      <c r="H69" s="5"/>
      <c r="I69" s="5"/>
      <c r="J69" s="5"/>
      <c r="K69" s="5"/>
      <c r="L69" s="265"/>
      <c r="M69" s="5"/>
      <c r="N69" s="5"/>
      <c r="T69" s="220" t="s">
        <v>428</v>
      </c>
    </row>
    <row r="70" spans="1:20" ht="12" hidden="1" customHeight="1">
      <c r="A70" s="327"/>
      <c r="B70" s="47" t="s">
        <v>303</v>
      </c>
      <c r="C70" s="5"/>
      <c r="D70" s="5"/>
      <c r="E70" s="164"/>
      <c r="F70" s="5"/>
      <c r="G70" s="5"/>
      <c r="H70" s="5"/>
      <c r="I70" s="5"/>
      <c r="J70" s="5"/>
      <c r="K70" s="5"/>
      <c r="L70" s="5"/>
      <c r="M70" s="5"/>
      <c r="N70" s="5"/>
      <c r="T70" s="220"/>
    </row>
    <row r="71" spans="1:20" ht="12" hidden="1" customHeight="1">
      <c r="A71" s="327"/>
      <c r="B71" s="47" t="s">
        <v>302</v>
      </c>
      <c r="C71" s="5"/>
      <c r="D71" s="5"/>
      <c r="E71" s="164"/>
      <c r="F71" s="5"/>
      <c r="G71" s="5"/>
      <c r="H71" s="5"/>
      <c r="I71" s="5"/>
      <c r="J71" s="5"/>
      <c r="K71" s="5"/>
      <c r="L71" s="5"/>
      <c r="M71" s="5"/>
      <c r="N71" s="5"/>
      <c r="T71" s="220"/>
    </row>
    <row r="72" spans="1:20" ht="12" hidden="1" customHeight="1">
      <c r="A72" s="327"/>
      <c r="B72" s="5"/>
      <c r="C72" s="5"/>
      <c r="D72" s="5"/>
      <c r="E72" s="164"/>
      <c r="F72" s="5"/>
      <c r="G72" s="5"/>
      <c r="H72" s="5"/>
      <c r="I72" s="5"/>
      <c r="J72" s="5"/>
      <c r="K72" s="5"/>
      <c r="L72" s="5"/>
      <c r="M72" s="5"/>
      <c r="N72" s="5"/>
      <c r="T72" s="220"/>
    </row>
    <row r="73" spans="1:20" ht="12" hidden="1" customHeight="1">
      <c r="A73" s="327">
        <v>13</v>
      </c>
      <c r="B73" s="47" t="s">
        <v>304</v>
      </c>
      <c r="C73" s="47"/>
      <c r="D73" s="47"/>
      <c r="E73" s="47"/>
      <c r="F73" s="47"/>
      <c r="G73" s="47"/>
      <c r="H73" s="47"/>
      <c r="I73" s="165"/>
      <c r="J73" s="165"/>
      <c r="K73" s="165"/>
      <c r="L73" s="265"/>
      <c r="M73" s="165"/>
      <c r="N73" s="167"/>
      <c r="T73" s="220" t="s">
        <v>429</v>
      </c>
    </row>
    <row r="74" spans="1:20" ht="12" hidden="1" customHeight="1">
      <c r="A74" s="327"/>
      <c r="B74" s="47" t="s">
        <v>305</v>
      </c>
      <c r="C74" s="5"/>
      <c r="D74" s="5"/>
      <c r="E74" s="164"/>
      <c r="F74" s="5"/>
      <c r="G74" s="5"/>
      <c r="H74" s="5"/>
      <c r="I74" s="5"/>
      <c r="J74" s="5"/>
      <c r="K74" s="5"/>
      <c r="L74" s="5"/>
      <c r="M74" s="5"/>
      <c r="N74" s="5"/>
      <c r="T74" s="220"/>
    </row>
    <row r="75" spans="1:20" ht="12" hidden="1" customHeight="1">
      <c r="A75" s="327"/>
      <c r="B75" s="47" t="s">
        <v>306</v>
      </c>
      <c r="C75" s="47"/>
      <c r="D75" s="47"/>
      <c r="E75" s="47"/>
      <c r="F75" s="47"/>
      <c r="G75" s="47"/>
      <c r="H75" s="47"/>
      <c r="I75" s="165"/>
      <c r="J75" s="165"/>
      <c r="K75" s="165"/>
      <c r="M75" s="165"/>
      <c r="N75" s="167"/>
      <c r="T75" s="220"/>
    </row>
    <row r="76" spans="1:20" ht="12" hidden="1" customHeight="1">
      <c r="A76" s="327"/>
      <c r="B76" s="5"/>
      <c r="C76" s="5"/>
      <c r="D76" s="5"/>
      <c r="E76" s="164"/>
      <c r="F76" s="5"/>
      <c r="G76" s="5"/>
      <c r="H76" s="5"/>
      <c r="I76" s="5"/>
      <c r="J76" s="5"/>
      <c r="K76" s="5"/>
      <c r="L76" s="5"/>
      <c r="M76" s="5"/>
      <c r="N76" s="5"/>
      <c r="T76" s="220"/>
    </row>
    <row r="77" spans="1:20" ht="12" hidden="1" customHeight="1">
      <c r="A77" s="327">
        <v>14</v>
      </c>
      <c r="B77" s="168" t="s">
        <v>218</v>
      </c>
      <c r="C77" s="5"/>
      <c r="D77" s="5"/>
      <c r="E77" s="164"/>
      <c r="F77" s="5"/>
      <c r="G77" s="5"/>
      <c r="H77" s="5"/>
      <c r="I77" s="5"/>
      <c r="J77" s="5"/>
      <c r="K77" s="5"/>
      <c r="L77" s="265"/>
      <c r="M77" s="5"/>
      <c r="N77" s="5"/>
      <c r="T77" s="220" t="s">
        <v>430</v>
      </c>
    </row>
    <row r="78" spans="1:20" ht="12" hidden="1" customHeight="1">
      <c r="A78" s="327"/>
      <c r="B78" s="168"/>
      <c r="C78" s="5"/>
      <c r="D78" s="5"/>
      <c r="E78" s="164"/>
      <c r="F78" s="5"/>
      <c r="G78" s="5"/>
      <c r="H78" s="5"/>
      <c r="I78" s="5"/>
      <c r="J78" s="5"/>
      <c r="K78" s="5"/>
      <c r="L78" s="5"/>
      <c r="M78" s="5"/>
      <c r="N78" s="5"/>
      <c r="T78" s="220"/>
    </row>
    <row r="79" spans="1:20" ht="12" hidden="1" customHeight="1">
      <c r="A79" s="327">
        <v>15</v>
      </c>
      <c r="B79" s="168" t="s">
        <v>219</v>
      </c>
      <c r="C79" s="5"/>
      <c r="D79" s="5"/>
      <c r="E79" s="164"/>
      <c r="F79" s="5"/>
      <c r="G79" s="5"/>
      <c r="H79" s="5"/>
      <c r="I79" s="5"/>
      <c r="J79" s="5"/>
      <c r="K79" s="5"/>
      <c r="L79" s="265"/>
      <c r="M79" s="5"/>
      <c r="N79" s="5"/>
      <c r="T79" s="220" t="s">
        <v>431</v>
      </c>
    </row>
    <row r="80" spans="1:20" ht="12" hidden="1" customHeight="1">
      <c r="A80" s="169"/>
      <c r="B80" s="168"/>
      <c r="C80" s="5"/>
      <c r="D80" s="5"/>
      <c r="E80" s="164"/>
      <c r="F80" s="5"/>
      <c r="G80" s="5"/>
      <c r="H80" s="5"/>
      <c r="I80" s="5"/>
      <c r="J80" s="5"/>
      <c r="K80" s="5"/>
      <c r="L80" s="167"/>
      <c r="M80" s="5"/>
      <c r="N80" s="5"/>
      <c r="T80" s="220"/>
    </row>
    <row r="81" spans="1:20" ht="12" hidden="1" customHeight="1">
      <c r="A81" s="163"/>
      <c r="B81" s="5"/>
      <c r="C81" s="5"/>
      <c r="D81" s="5"/>
      <c r="E81" s="164"/>
      <c r="F81" s="5"/>
      <c r="G81" s="5"/>
      <c r="H81" s="5"/>
      <c r="I81" s="5"/>
      <c r="J81" s="5"/>
      <c r="K81" s="5"/>
      <c r="L81" s="5"/>
      <c r="M81" s="5"/>
      <c r="N81" s="5"/>
      <c r="T81" s="220"/>
    </row>
    <row r="82" spans="1:20" ht="15.5">
      <c r="A82" s="191" t="s">
        <v>233</v>
      </c>
      <c r="B82" s="174"/>
      <c r="C82" s="172"/>
      <c r="D82" s="172"/>
      <c r="E82" s="173"/>
      <c r="F82" s="172"/>
      <c r="G82" s="172"/>
      <c r="H82" s="172"/>
      <c r="I82" s="172"/>
      <c r="J82" s="172"/>
      <c r="K82" s="172"/>
      <c r="L82" s="172"/>
      <c r="M82" s="172"/>
      <c r="N82" s="172"/>
      <c r="T82" s="220"/>
    </row>
    <row r="83" spans="1:20" ht="19">
      <c r="A83" s="214" t="str">
        <f>IF(DSHPool&lt;&gt;"Non-State Large Public (CPE)", "N/A - This question does not apply to your facility.","")</f>
        <v>N/A - This question does not apply to your facility.</v>
      </c>
      <c r="B83" s="196"/>
      <c r="C83" s="197"/>
      <c r="D83" s="197"/>
      <c r="E83" s="198"/>
      <c r="F83" s="197"/>
      <c r="G83" s="197"/>
      <c r="H83" s="197"/>
      <c r="I83" s="197"/>
      <c r="J83" s="197"/>
      <c r="K83" s="197"/>
      <c r="L83" s="197"/>
      <c r="M83" s="197"/>
      <c r="N83" s="197"/>
      <c r="T83" s="220"/>
    </row>
    <row r="84" spans="1:20" ht="12" customHeight="1">
      <c r="A84" s="169"/>
      <c r="B84" s="47" t="s">
        <v>246</v>
      </c>
      <c r="C84" s="47"/>
      <c r="D84" s="47"/>
      <c r="E84" s="47"/>
      <c r="F84" s="47"/>
      <c r="G84" s="47"/>
      <c r="H84" s="47"/>
      <c r="I84" s="47"/>
      <c r="J84" s="47"/>
      <c r="K84" s="47"/>
      <c r="L84" s="47"/>
      <c r="M84" s="47"/>
      <c r="N84" s="47"/>
      <c r="T84" s="220"/>
    </row>
    <row r="85" spans="1:20" ht="26.5" thickBot="1">
      <c r="A85" s="169"/>
      <c r="B85" s="106" t="s">
        <v>247</v>
      </c>
      <c r="C85" s="91"/>
      <c r="D85" s="91"/>
      <c r="E85" s="91"/>
      <c r="F85" s="91"/>
      <c r="G85" s="91"/>
      <c r="H85" s="91"/>
      <c r="I85" s="91"/>
      <c r="J85" s="47"/>
      <c r="K85" s="47"/>
      <c r="L85" s="123" t="s">
        <v>217</v>
      </c>
      <c r="M85" s="47"/>
      <c r="N85" s="47"/>
      <c r="T85" s="220"/>
    </row>
    <row r="86" spans="1:20" ht="12" customHeight="1">
      <c r="A86" s="169"/>
      <c r="B86" s="91"/>
      <c r="C86" s="91"/>
      <c r="D86" s="91"/>
      <c r="E86" s="91"/>
      <c r="F86" s="91"/>
      <c r="G86" s="91"/>
      <c r="H86" s="91"/>
      <c r="I86" s="91"/>
      <c r="J86" s="47"/>
      <c r="K86" s="47"/>
      <c r="L86" s="166"/>
      <c r="M86" s="47"/>
      <c r="N86" s="47"/>
      <c r="T86" s="220"/>
    </row>
    <row r="87" spans="1:20" ht="12" customHeight="1">
      <c r="A87" s="107" t="s">
        <v>10</v>
      </c>
      <c r="B87" s="47" t="s">
        <v>309</v>
      </c>
      <c r="C87" s="5"/>
      <c r="D87" s="5"/>
      <c r="E87" s="164"/>
      <c r="F87" s="5"/>
      <c r="G87" s="5"/>
      <c r="H87" s="5"/>
      <c r="I87" s="5"/>
      <c r="J87" s="5"/>
      <c r="K87" s="5"/>
      <c r="L87" s="265"/>
      <c r="M87" s="5"/>
      <c r="N87" s="5"/>
      <c r="T87" s="220" t="s">
        <v>432</v>
      </c>
    </row>
    <row r="88" spans="1:20" ht="12" customHeight="1">
      <c r="A88" s="107"/>
      <c r="B88" s="47" t="s">
        <v>310</v>
      </c>
      <c r="C88" s="5"/>
      <c r="D88" s="5"/>
      <c r="E88" s="164"/>
      <c r="F88" s="5"/>
      <c r="G88" s="5"/>
      <c r="H88" s="5"/>
      <c r="I88" s="5"/>
      <c r="J88" s="5"/>
      <c r="K88" s="5"/>
      <c r="L88" s="167"/>
      <c r="M88" s="5"/>
      <c r="N88" s="5"/>
      <c r="T88" s="220"/>
    </row>
    <row r="89" spans="1:20" ht="12" customHeight="1">
      <c r="A89" s="163"/>
      <c r="B89" s="5"/>
      <c r="C89" s="125"/>
      <c r="D89" s="125"/>
      <c r="E89" s="125"/>
      <c r="F89" s="125"/>
      <c r="G89" s="125"/>
      <c r="H89" s="125"/>
      <c r="I89" s="125"/>
      <c r="J89" s="125"/>
      <c r="K89" s="125"/>
      <c r="L89" s="125"/>
      <c r="M89" s="125"/>
      <c r="N89" s="125"/>
      <c r="T89" s="220"/>
    </row>
    <row r="90" spans="1:20" ht="12" customHeight="1">
      <c r="A90" s="163"/>
      <c r="B90" s="47" t="s">
        <v>248</v>
      </c>
      <c r="C90" s="47"/>
      <c r="D90" s="47"/>
      <c r="E90" s="47"/>
      <c r="F90" s="47"/>
      <c r="G90" s="47"/>
      <c r="H90" s="47"/>
      <c r="I90" s="165"/>
      <c r="J90" s="165"/>
      <c r="K90" s="165"/>
      <c r="L90" s="165"/>
      <c r="M90" s="165"/>
      <c r="N90" s="165"/>
      <c r="T90" s="220"/>
    </row>
    <row r="91" spans="1:20" ht="12" customHeight="1">
      <c r="A91" s="163"/>
      <c r="B91" s="47" t="s">
        <v>249</v>
      </c>
      <c r="C91" s="91"/>
      <c r="D91" s="91"/>
      <c r="E91" s="91"/>
      <c r="F91" s="91"/>
      <c r="G91" s="91"/>
      <c r="H91" s="91"/>
      <c r="I91" s="165"/>
      <c r="J91" s="165"/>
      <c r="K91" s="165"/>
      <c r="L91" s="165"/>
      <c r="M91" s="165"/>
      <c r="N91" s="165"/>
      <c r="T91" s="220"/>
    </row>
    <row r="92" spans="1:20" ht="12" customHeight="1">
      <c r="A92" s="163"/>
      <c r="B92" s="47" t="s">
        <v>250</v>
      </c>
      <c r="C92" s="91"/>
      <c r="D92" s="91"/>
      <c r="E92" s="91"/>
      <c r="F92" s="91"/>
      <c r="G92" s="91"/>
      <c r="H92" s="91"/>
      <c r="I92" s="165"/>
      <c r="J92" s="165"/>
      <c r="K92" s="165"/>
      <c r="L92" s="165"/>
      <c r="M92" s="165"/>
      <c r="N92" s="165"/>
      <c r="T92" s="220"/>
    </row>
    <row r="93" spans="1:20" ht="12" customHeight="1">
      <c r="A93" s="163"/>
      <c r="B93" s="47" t="s">
        <v>251</v>
      </c>
      <c r="C93" s="91"/>
      <c r="D93" s="91"/>
      <c r="E93" s="91"/>
      <c r="F93" s="91"/>
      <c r="G93" s="91"/>
      <c r="H93" s="91"/>
      <c r="I93" s="165"/>
      <c r="J93" s="165"/>
      <c r="K93" s="165"/>
      <c r="L93" s="165"/>
      <c r="M93" s="165"/>
      <c r="N93" s="165"/>
      <c r="T93" s="220"/>
    </row>
    <row r="94" spans="1:20" ht="12" customHeight="1">
      <c r="A94" s="163"/>
      <c r="B94" s="47" t="s">
        <v>308</v>
      </c>
      <c r="C94" s="91"/>
      <c r="D94" s="91"/>
      <c r="E94" s="91"/>
      <c r="F94" s="91"/>
      <c r="G94" s="91"/>
      <c r="H94" s="91"/>
      <c r="I94" s="165"/>
      <c r="J94" s="165"/>
      <c r="K94" s="165"/>
      <c r="L94" s="165"/>
      <c r="M94" s="165"/>
      <c r="N94" s="165"/>
      <c r="T94" s="220"/>
    </row>
    <row r="95" spans="1:20" ht="12" customHeight="1">
      <c r="A95" s="163"/>
      <c r="B95" s="47"/>
      <c r="C95" s="91"/>
      <c r="D95" s="91"/>
      <c r="E95" s="91"/>
      <c r="F95" s="91"/>
      <c r="G95" s="91"/>
      <c r="H95" s="91"/>
      <c r="I95" s="165"/>
      <c r="J95" s="165"/>
      <c r="K95" s="165"/>
      <c r="L95" s="165"/>
      <c r="M95" s="165"/>
      <c r="N95" s="165"/>
      <c r="T95" s="220"/>
    </row>
    <row r="96" spans="1:20" ht="12" customHeight="1">
      <c r="A96" s="163"/>
      <c r="B96" s="5"/>
      <c r="C96" s="5"/>
      <c r="D96" s="5"/>
      <c r="E96" s="164"/>
      <c r="F96" s="5"/>
      <c r="G96" s="5"/>
      <c r="H96" s="5"/>
      <c r="I96" s="5"/>
      <c r="J96" s="5"/>
      <c r="K96" s="5"/>
      <c r="L96" s="5"/>
      <c r="M96" s="5"/>
      <c r="N96" s="5"/>
      <c r="T96" s="220"/>
    </row>
    <row r="97" spans="1:20" ht="15.5">
      <c r="A97" s="191" t="s">
        <v>389</v>
      </c>
      <c r="B97" s="174"/>
      <c r="C97" s="172"/>
      <c r="D97" s="172"/>
      <c r="E97" s="173"/>
      <c r="F97" s="172"/>
      <c r="G97" s="172"/>
      <c r="H97" s="172"/>
      <c r="I97" s="172"/>
      <c r="J97" s="172"/>
      <c r="K97" s="172"/>
      <c r="L97" s="172"/>
      <c r="M97" s="172"/>
      <c r="N97" s="172"/>
      <c r="T97" s="220"/>
    </row>
    <row r="98" spans="1:20" ht="19">
      <c r="A98" s="214" t="str">
        <f>IF(DSHPool&lt;&gt;"LINCCA", "N/A - This question does not apply to your facility.","")</f>
        <v>N/A - This question does not apply to your facility.</v>
      </c>
      <c r="B98" s="196"/>
      <c r="C98" s="197"/>
      <c r="D98" s="197"/>
      <c r="E98" s="198"/>
      <c r="F98" s="197"/>
      <c r="G98" s="197"/>
      <c r="H98" s="197"/>
      <c r="I98" s="197"/>
      <c r="J98" s="197"/>
      <c r="K98" s="197"/>
      <c r="L98" s="197"/>
      <c r="M98" s="197"/>
      <c r="N98" s="197"/>
      <c r="T98" s="220"/>
    </row>
    <row r="99" spans="1:20" ht="12" customHeight="1">
      <c r="A99" s="163"/>
      <c r="B99" s="47" t="s">
        <v>246</v>
      </c>
      <c r="C99" s="165"/>
      <c r="D99" s="165"/>
      <c r="E99" s="165"/>
      <c r="F99" s="165"/>
      <c r="G99" s="165"/>
      <c r="H99" s="165"/>
      <c r="I99" s="165"/>
      <c r="J99" s="165"/>
      <c r="K99" s="165"/>
      <c r="L99" s="47"/>
      <c r="M99" s="165"/>
      <c r="N99" s="165"/>
      <c r="T99" s="220"/>
    </row>
    <row r="100" spans="1:20" ht="27" thickBot="1">
      <c r="A100" s="163"/>
      <c r="B100" s="106" t="s">
        <v>253</v>
      </c>
      <c r="C100" s="91"/>
      <c r="D100" s="91"/>
      <c r="E100" s="91"/>
      <c r="F100" s="91"/>
      <c r="G100" s="91"/>
      <c r="H100" s="91"/>
      <c r="I100" s="91"/>
      <c r="J100" s="165"/>
      <c r="K100" s="165"/>
      <c r="L100" s="123" t="s">
        <v>217</v>
      </c>
      <c r="M100" s="165"/>
      <c r="N100" s="165"/>
      <c r="T100" s="220"/>
    </row>
    <row r="101" spans="1:20" ht="12" customHeight="1">
      <c r="A101" s="163"/>
      <c r="B101" s="91"/>
      <c r="C101" s="91"/>
      <c r="D101" s="91"/>
      <c r="E101" s="91"/>
      <c r="F101" s="91"/>
      <c r="G101" s="91"/>
      <c r="H101" s="91"/>
      <c r="I101" s="91"/>
      <c r="J101" s="165"/>
      <c r="K101" s="165"/>
      <c r="L101" s="166"/>
      <c r="M101" s="165"/>
      <c r="N101" s="165"/>
      <c r="T101" s="220"/>
    </row>
    <row r="102" spans="1:20" ht="12" customHeight="1">
      <c r="A102" s="169" t="s">
        <v>10</v>
      </c>
      <c r="B102" s="47" t="s">
        <v>224</v>
      </c>
      <c r="C102" s="47"/>
      <c r="D102" s="47"/>
      <c r="E102" s="47"/>
      <c r="F102" s="47"/>
      <c r="G102" s="47"/>
      <c r="H102" s="47"/>
      <c r="I102" s="5"/>
      <c r="J102" s="5"/>
      <c r="K102" s="5"/>
      <c r="L102" s="265"/>
      <c r="M102" s="5"/>
      <c r="N102" s="5"/>
      <c r="T102" s="220" t="s">
        <v>433</v>
      </c>
    </row>
    <row r="103" spans="1:20" ht="12" customHeight="1">
      <c r="A103" s="169"/>
      <c r="B103" s="47" t="s">
        <v>225</v>
      </c>
      <c r="C103" s="91"/>
      <c r="D103" s="91"/>
      <c r="E103" s="91"/>
      <c r="F103" s="91"/>
      <c r="G103" s="91"/>
      <c r="H103" s="91"/>
      <c r="I103" s="5"/>
      <c r="J103" s="5"/>
      <c r="K103" s="5"/>
      <c r="L103" s="167"/>
      <c r="M103" s="5"/>
      <c r="N103" s="5"/>
      <c r="T103" s="220"/>
    </row>
    <row r="104" spans="1:20" ht="12" customHeight="1">
      <c r="A104" s="170"/>
      <c r="B104" s="5"/>
      <c r="C104" s="5"/>
      <c r="D104" s="5"/>
      <c r="E104" s="164"/>
      <c r="F104" s="5"/>
      <c r="G104" s="5"/>
      <c r="H104" s="5"/>
      <c r="I104" s="5"/>
      <c r="J104" s="5"/>
      <c r="K104" s="5"/>
      <c r="L104" s="5"/>
      <c r="M104" s="5"/>
      <c r="N104" s="5"/>
      <c r="T104" s="220"/>
    </row>
    <row r="105" spans="1:20" ht="12" customHeight="1">
      <c r="A105" s="169" t="s">
        <v>11</v>
      </c>
      <c r="B105" s="47" t="s">
        <v>307</v>
      </c>
      <c r="C105" s="165"/>
      <c r="D105" s="165"/>
      <c r="E105" s="165"/>
      <c r="F105" s="165"/>
      <c r="G105" s="5"/>
      <c r="H105" s="5"/>
      <c r="I105" s="5"/>
      <c r="J105" s="5"/>
      <c r="K105" s="5"/>
      <c r="L105" s="265"/>
      <c r="M105" s="5"/>
      <c r="N105" s="5"/>
      <c r="T105" s="220" t="s">
        <v>434</v>
      </c>
    </row>
    <row r="106" spans="1:20" ht="12" customHeight="1">
      <c r="A106" s="163"/>
      <c r="B106" s="5"/>
      <c r="C106" s="5"/>
      <c r="D106" s="5"/>
      <c r="E106" s="164"/>
      <c r="F106" s="5"/>
      <c r="G106" s="5"/>
      <c r="H106" s="5"/>
      <c r="I106" s="5"/>
      <c r="J106" s="5"/>
      <c r="K106" s="5"/>
      <c r="L106" s="5"/>
      <c r="M106" s="5"/>
      <c r="N106" s="5"/>
      <c r="T106" s="220"/>
    </row>
    <row r="107" spans="1:20" ht="15.5">
      <c r="A107" s="191" t="s">
        <v>405</v>
      </c>
      <c r="B107" s="174"/>
      <c r="C107" s="172"/>
      <c r="D107" s="172"/>
      <c r="E107" s="173"/>
      <c r="F107" s="172"/>
      <c r="G107" s="172"/>
      <c r="H107" s="172"/>
      <c r="I107" s="172"/>
      <c r="J107" s="172"/>
      <c r="K107" s="172"/>
      <c r="L107" s="172"/>
      <c r="M107" s="172"/>
      <c r="N107" s="172"/>
      <c r="T107" s="220"/>
    </row>
    <row r="108" spans="1:20" ht="19">
      <c r="A108" s="214" t="str">
        <f>IF(DSHPool&lt;&gt;"Major Medical (Central &amp; Northern)", "N/A - This question does not apply to your facility.","")</f>
        <v>N/A - This question does not apply to your facility.</v>
      </c>
      <c r="B108" s="196"/>
      <c r="C108" s="197"/>
      <c r="D108" s="197"/>
      <c r="E108" s="198"/>
      <c r="F108" s="197"/>
      <c r="G108" s="197"/>
      <c r="H108" s="197"/>
      <c r="I108" s="197"/>
      <c r="J108" s="197"/>
      <c r="K108" s="197"/>
      <c r="L108" s="197"/>
      <c r="M108" s="197"/>
      <c r="N108" s="197"/>
      <c r="T108" s="220"/>
    </row>
    <row r="109" spans="1:20" ht="12" customHeight="1">
      <c r="A109" s="170"/>
      <c r="B109" s="47" t="s">
        <v>246</v>
      </c>
      <c r="C109" s="165"/>
      <c r="D109" s="165"/>
      <c r="E109" s="165"/>
      <c r="F109" s="165"/>
      <c r="G109" s="165"/>
      <c r="H109" s="165"/>
      <c r="I109" s="165"/>
      <c r="J109" s="165"/>
      <c r="K109" s="165"/>
      <c r="L109" s="5"/>
      <c r="M109" s="165"/>
      <c r="N109" s="165"/>
      <c r="T109" s="220"/>
    </row>
    <row r="110" spans="1:20" ht="26.5" thickBot="1">
      <c r="B110" s="108" t="s">
        <v>254</v>
      </c>
      <c r="C110" s="47"/>
      <c r="D110" s="47"/>
      <c r="E110" s="47"/>
      <c r="F110" s="47"/>
      <c r="G110" s="47"/>
      <c r="H110" s="47"/>
      <c r="I110" s="165"/>
      <c r="J110" s="165"/>
      <c r="K110" s="165"/>
      <c r="L110" s="123" t="s">
        <v>217</v>
      </c>
      <c r="M110" s="165"/>
      <c r="N110" s="165"/>
      <c r="T110" s="220"/>
    </row>
    <row r="111" spans="1:20" ht="12" customHeight="1">
      <c r="C111" s="47"/>
      <c r="D111" s="47"/>
      <c r="E111" s="47"/>
      <c r="F111" s="47"/>
      <c r="G111" s="47"/>
      <c r="H111" s="47"/>
      <c r="I111" s="165"/>
      <c r="J111" s="165"/>
      <c r="K111" s="165"/>
      <c r="L111" s="165"/>
      <c r="M111" s="165"/>
      <c r="N111" s="165"/>
      <c r="T111" s="220"/>
    </row>
    <row r="112" spans="1:20" ht="12" customHeight="1">
      <c r="A112" s="169" t="s">
        <v>10</v>
      </c>
      <c r="B112" s="47" t="s">
        <v>226</v>
      </c>
      <c r="C112" s="91"/>
      <c r="D112" s="91"/>
      <c r="E112" s="91"/>
      <c r="F112" s="91"/>
      <c r="G112" s="91"/>
      <c r="H112" s="91"/>
      <c r="I112" s="165"/>
      <c r="J112" s="165"/>
      <c r="K112" s="165"/>
      <c r="L112" s="166"/>
      <c r="M112" s="165"/>
      <c r="N112" s="165"/>
      <c r="T112" s="220"/>
    </row>
    <row r="113" spans="1:20" ht="12" customHeight="1">
      <c r="A113" s="169"/>
      <c r="B113" s="108" t="s">
        <v>227</v>
      </c>
      <c r="C113" s="91"/>
      <c r="D113" s="91"/>
      <c r="E113" s="91"/>
      <c r="F113" s="91"/>
      <c r="G113" s="91"/>
      <c r="H113" s="91"/>
      <c r="I113" s="165"/>
      <c r="J113" s="165"/>
      <c r="K113" s="165"/>
      <c r="L113" s="166"/>
      <c r="M113" s="165"/>
      <c r="N113" s="165"/>
      <c r="T113" s="220"/>
    </row>
    <row r="114" spans="1:20" ht="12" customHeight="1">
      <c r="A114" s="169"/>
      <c r="B114" s="108" t="s">
        <v>228</v>
      </c>
      <c r="C114" s="91"/>
      <c r="D114" s="91"/>
      <c r="E114" s="91"/>
      <c r="F114" s="91"/>
      <c r="G114" s="91"/>
      <c r="H114" s="91"/>
      <c r="I114" s="165"/>
      <c r="J114" s="165"/>
      <c r="K114" s="165"/>
      <c r="L114" s="166"/>
      <c r="M114" s="165"/>
      <c r="N114" s="165"/>
      <c r="T114" s="220"/>
    </row>
    <row r="115" spans="1:20" ht="12" customHeight="1">
      <c r="A115" s="169"/>
      <c r="B115" s="108" t="s">
        <v>229</v>
      </c>
      <c r="C115" s="91"/>
      <c r="D115" s="91"/>
      <c r="E115" s="91"/>
      <c r="F115" s="91"/>
      <c r="G115" s="91"/>
      <c r="H115" s="91"/>
      <c r="I115" s="165"/>
      <c r="J115" s="165"/>
      <c r="K115" s="165"/>
      <c r="L115" s="166"/>
      <c r="M115" s="165"/>
      <c r="N115" s="165"/>
      <c r="T115" s="220"/>
    </row>
    <row r="116" spans="1:20" ht="12" customHeight="1">
      <c r="A116" s="169"/>
      <c r="B116" s="108"/>
      <c r="C116" s="91"/>
      <c r="D116" s="91"/>
      <c r="E116" s="91"/>
      <c r="F116" s="91"/>
      <c r="G116" s="91"/>
      <c r="H116" s="91"/>
      <c r="I116" s="165"/>
      <c r="J116" s="165"/>
      <c r="K116" s="165"/>
      <c r="L116" s="166"/>
      <c r="M116" s="165"/>
      <c r="N116" s="165"/>
      <c r="T116" s="220"/>
    </row>
    <row r="117" spans="1:20" s="175" customFormat="1" ht="12" customHeight="1">
      <c r="A117" s="169"/>
      <c r="B117" s="169" t="s">
        <v>220</v>
      </c>
      <c r="C117" s="47" t="s">
        <v>255</v>
      </c>
      <c r="D117" s="165"/>
      <c r="E117" s="165"/>
      <c r="F117" s="165"/>
      <c r="G117" s="165"/>
      <c r="H117" s="165"/>
      <c r="I117" s="91"/>
      <c r="J117" s="91"/>
      <c r="K117" s="91"/>
      <c r="L117" s="265"/>
      <c r="M117" s="91"/>
      <c r="N117" s="91"/>
      <c r="O117"/>
      <c r="T117" s="220" t="s">
        <v>435</v>
      </c>
    </row>
    <row r="118" spans="1:20" s="175" customFormat="1" ht="12" customHeight="1">
      <c r="A118" s="169"/>
      <c r="B118" s="169"/>
      <c r="C118" s="91" t="s">
        <v>256</v>
      </c>
      <c r="D118" s="91"/>
      <c r="E118" s="91"/>
      <c r="F118" s="91"/>
      <c r="G118" s="91"/>
      <c r="H118" s="91"/>
      <c r="I118" s="91"/>
      <c r="J118" s="91"/>
      <c r="K118" s="91"/>
      <c r="L118" s="176"/>
      <c r="M118" s="91"/>
      <c r="N118" s="91"/>
      <c r="O118"/>
      <c r="T118" s="221"/>
    </row>
    <row r="119" spans="1:20" ht="12" customHeight="1">
      <c r="A119" s="169"/>
      <c r="B119" s="91"/>
      <c r="C119" s="91"/>
      <c r="D119" s="91"/>
      <c r="E119" s="91"/>
      <c r="F119" s="91"/>
      <c r="G119" s="165"/>
      <c r="H119" s="165"/>
      <c r="I119" s="165"/>
      <c r="J119" s="165"/>
      <c r="K119" s="165"/>
      <c r="L119" s="5"/>
      <c r="M119" s="165"/>
      <c r="N119" s="165"/>
      <c r="T119" s="220"/>
    </row>
    <row r="120" spans="1:20" ht="12" customHeight="1">
      <c r="A120" s="169"/>
      <c r="B120" s="169" t="s">
        <v>221</v>
      </c>
      <c r="C120" s="47" t="s">
        <v>230</v>
      </c>
      <c r="D120" s="47"/>
      <c r="E120" s="47"/>
      <c r="F120" s="47"/>
      <c r="G120" s="47"/>
      <c r="H120" s="47"/>
      <c r="I120" s="165"/>
      <c r="J120" s="165"/>
      <c r="K120" s="165"/>
      <c r="L120" s="265"/>
      <c r="M120" s="165"/>
      <c r="N120" s="165"/>
      <c r="T120" s="220" t="s">
        <v>436</v>
      </c>
    </row>
    <row r="121" spans="1:20" ht="12" customHeight="1">
      <c r="A121" s="169"/>
      <c r="B121" s="169"/>
      <c r="C121" s="108" t="s">
        <v>257</v>
      </c>
      <c r="D121" s="91"/>
      <c r="E121" s="91"/>
      <c r="F121" s="91"/>
      <c r="G121" s="91"/>
      <c r="H121" s="91"/>
      <c r="I121" s="165"/>
      <c r="J121" s="165"/>
      <c r="K121" s="165"/>
      <c r="L121" s="167"/>
      <c r="M121" s="165"/>
      <c r="N121" s="165"/>
      <c r="T121" s="220"/>
    </row>
    <row r="122" spans="1:20" ht="12" customHeight="1">
      <c r="A122" s="169"/>
      <c r="B122" s="169"/>
      <c r="C122" s="108" t="s">
        <v>258</v>
      </c>
      <c r="D122" s="91"/>
      <c r="E122" s="91"/>
      <c r="F122" s="91"/>
      <c r="G122" s="91"/>
      <c r="H122" s="91"/>
      <c r="I122" s="165"/>
      <c r="J122" s="165"/>
      <c r="K122" s="165"/>
      <c r="L122" s="167"/>
      <c r="M122" s="165"/>
      <c r="N122" s="165"/>
      <c r="T122" s="220"/>
    </row>
    <row r="123" spans="1:20" ht="12" customHeight="1">
      <c r="A123" s="169"/>
      <c r="B123" s="169"/>
      <c r="C123" s="108" t="s">
        <v>259</v>
      </c>
      <c r="D123" s="91"/>
      <c r="E123" s="91"/>
      <c r="F123" s="91"/>
      <c r="G123" s="91"/>
      <c r="H123" s="91"/>
      <c r="I123" s="165"/>
      <c r="J123" s="165"/>
      <c r="K123" s="165"/>
      <c r="L123" s="167"/>
      <c r="M123" s="165"/>
      <c r="N123" s="165"/>
      <c r="T123" s="220"/>
    </row>
    <row r="124" spans="1:20" ht="12" customHeight="1">
      <c r="A124" s="169"/>
      <c r="B124" s="91"/>
      <c r="C124" s="91"/>
      <c r="D124" s="91"/>
      <c r="E124" s="91"/>
      <c r="F124" s="91"/>
      <c r="G124" s="165"/>
      <c r="H124" s="165"/>
      <c r="I124" s="165"/>
      <c r="J124" s="165"/>
      <c r="K124" s="165"/>
      <c r="L124" s="167"/>
      <c r="M124" s="165"/>
      <c r="N124" s="165"/>
      <c r="T124" s="220"/>
    </row>
    <row r="125" spans="1:20" ht="12" customHeight="1">
      <c r="A125" s="169"/>
      <c r="B125" s="169" t="s">
        <v>222</v>
      </c>
      <c r="C125" s="47" t="s">
        <v>260</v>
      </c>
      <c r="D125" s="165"/>
      <c r="E125" s="165"/>
      <c r="F125" s="165"/>
      <c r="G125" s="165"/>
      <c r="H125" s="165"/>
      <c r="I125" s="165"/>
      <c r="J125" s="165"/>
      <c r="K125" s="165"/>
      <c r="L125" s="265"/>
      <c r="M125" s="165"/>
      <c r="N125" s="165"/>
      <c r="T125" s="220" t="s">
        <v>437</v>
      </c>
    </row>
    <row r="126" spans="1:20" ht="12" customHeight="1">
      <c r="A126" s="169"/>
      <c r="B126" s="91"/>
      <c r="C126" s="91"/>
      <c r="D126" s="91"/>
      <c r="E126" s="91"/>
      <c r="F126" s="91"/>
      <c r="G126" s="165"/>
      <c r="H126" s="165"/>
      <c r="I126" s="165"/>
      <c r="J126" s="165"/>
      <c r="K126" s="165"/>
      <c r="L126" s="165"/>
      <c r="M126" s="165"/>
      <c r="N126" s="165"/>
      <c r="T126" s="220"/>
    </row>
    <row r="127" spans="1:20" ht="12" customHeight="1">
      <c r="A127" s="169"/>
      <c r="B127" s="169" t="s">
        <v>223</v>
      </c>
      <c r="C127" s="47" t="s">
        <v>261</v>
      </c>
      <c r="D127" s="47"/>
      <c r="E127" s="47"/>
      <c r="F127" s="47"/>
      <c r="G127" s="47"/>
      <c r="H127" s="47"/>
      <c r="I127" s="165"/>
      <c r="J127" s="165"/>
      <c r="K127" s="165"/>
      <c r="L127" s="265"/>
      <c r="M127" s="165"/>
      <c r="N127" s="165"/>
      <c r="T127" s="220" t="s">
        <v>438</v>
      </c>
    </row>
    <row r="128" spans="1:20" ht="12" customHeight="1">
      <c r="C128" s="47" t="s">
        <v>262</v>
      </c>
      <c r="T128" s="220"/>
    </row>
    <row r="129" spans="1:20" ht="12" customHeight="1">
      <c r="C129" s="47" t="s">
        <v>263</v>
      </c>
      <c r="T129" s="220"/>
    </row>
    <row r="130" spans="1:20" ht="12" customHeight="1">
      <c r="C130" s="47" t="s">
        <v>264</v>
      </c>
      <c r="T130" s="220"/>
    </row>
    <row r="131" spans="1:20" ht="12" customHeight="1">
      <c r="C131" s="47" t="s">
        <v>265</v>
      </c>
      <c r="T131" s="220"/>
    </row>
    <row r="132" spans="1:20" ht="12" customHeight="1">
      <c r="C132" s="47"/>
      <c r="T132" s="220"/>
    </row>
    <row r="133" spans="1:20" ht="15.5">
      <c r="A133" s="191" t="s">
        <v>390</v>
      </c>
      <c r="B133" s="174"/>
      <c r="C133" s="172"/>
      <c r="D133" s="172"/>
      <c r="E133" s="173"/>
      <c r="F133" s="172"/>
      <c r="G133" s="172"/>
      <c r="H133" s="172"/>
      <c r="I133" s="172"/>
      <c r="J133" s="172"/>
      <c r="K133" s="172"/>
      <c r="L133" s="172"/>
      <c r="M133" s="172"/>
      <c r="N133" s="172"/>
      <c r="T133" s="220"/>
    </row>
    <row r="134" spans="1:20" ht="19">
      <c r="A134" s="214" t="str">
        <f>IF(DSHPool&lt;&gt;"Major Medical (Southwestern)", "N/A - This question does not apply to your facility.","")</f>
        <v>N/A - This question does not apply to your facility.</v>
      </c>
      <c r="C134" s="47"/>
      <c r="T134" s="220"/>
    </row>
    <row r="135" spans="1:20" ht="12" customHeight="1" thickBot="1">
      <c r="A135" s="47"/>
      <c r="B135" s="47" t="str">
        <f>"In order to qualify for Disproportionate Share Payments for FFY "&amp;Year&amp;", we must verify that"</f>
        <v>In order to qualify for Disproportionate Share Payments for FFY 2022, we must verify that</v>
      </c>
      <c r="C135" s="47"/>
      <c r="D135" s="47"/>
      <c r="L135" s="123" t="s">
        <v>217</v>
      </c>
      <c r="T135" s="220"/>
    </row>
    <row r="136" spans="1:20" ht="12" customHeight="1">
      <c r="A136" s="47"/>
      <c r="B136" s="47" t="s">
        <v>391</v>
      </c>
      <c r="C136" s="47"/>
      <c r="D136" s="47"/>
      <c r="T136" s="220"/>
    </row>
    <row r="137" spans="1:20" ht="12" customHeight="1">
      <c r="A137" s="47"/>
      <c r="B137" s="47"/>
      <c r="C137" s="47"/>
      <c r="D137" s="47"/>
      <c r="T137" s="220"/>
    </row>
    <row r="138" spans="1:20" ht="12" customHeight="1">
      <c r="A138" s="48" t="s">
        <v>10</v>
      </c>
      <c r="B138" s="47" t="s">
        <v>392</v>
      </c>
      <c r="C138" s="47"/>
      <c r="D138" s="47"/>
      <c r="T138" s="220"/>
    </row>
    <row r="139" spans="1:20" ht="12" customHeight="1">
      <c r="A139" s="47"/>
      <c r="B139" s="47" t="s">
        <v>393</v>
      </c>
      <c r="C139" s="47"/>
      <c r="D139" s="47"/>
      <c r="T139" s="220"/>
    </row>
    <row r="140" spans="1:20" ht="12" customHeight="1">
      <c r="A140" s="47"/>
      <c r="B140" s="47" t="s">
        <v>228</v>
      </c>
      <c r="C140" s="47"/>
      <c r="D140" s="47"/>
      <c r="T140" s="220"/>
    </row>
    <row r="141" spans="1:20" ht="12" customHeight="1">
      <c r="A141" s="47"/>
      <c r="B141" s="47" t="s">
        <v>229</v>
      </c>
      <c r="C141" s="47"/>
      <c r="D141" s="47"/>
      <c r="T141" s="220"/>
    </row>
    <row r="142" spans="1:20" ht="12" customHeight="1">
      <c r="A142" s="47"/>
      <c r="B142" s="47"/>
      <c r="C142" s="47"/>
      <c r="D142" s="47"/>
      <c r="T142" s="220"/>
    </row>
    <row r="143" spans="1:20" ht="12" customHeight="1">
      <c r="A143" s="47"/>
      <c r="B143" s="48" t="s">
        <v>220</v>
      </c>
      <c r="C143" s="47" t="s">
        <v>394</v>
      </c>
      <c r="D143" s="47"/>
      <c r="L143" s="265"/>
      <c r="T143" s="220" t="s">
        <v>439</v>
      </c>
    </row>
    <row r="144" spans="1:20" ht="12" customHeight="1">
      <c r="A144" s="47"/>
      <c r="B144" s="48"/>
      <c r="C144" s="47" t="s">
        <v>395</v>
      </c>
      <c r="D144" s="47"/>
      <c r="T144" s="220"/>
    </row>
    <row r="145" spans="1:20" ht="12" customHeight="1">
      <c r="A145" s="47"/>
      <c r="B145" s="48"/>
      <c r="C145" s="47"/>
      <c r="D145" s="47"/>
      <c r="T145" s="220"/>
    </row>
    <row r="146" spans="1:20" ht="12" customHeight="1">
      <c r="A146" s="47"/>
      <c r="B146" s="48" t="s">
        <v>221</v>
      </c>
      <c r="C146" s="47" t="s">
        <v>396</v>
      </c>
      <c r="D146" s="47"/>
      <c r="L146" s="265"/>
      <c r="T146" s="220" t="s">
        <v>440</v>
      </c>
    </row>
    <row r="147" spans="1:20" ht="12" customHeight="1">
      <c r="A147" s="47"/>
      <c r="B147" s="48"/>
      <c r="C147" s="47" t="s">
        <v>397</v>
      </c>
      <c r="D147" s="47"/>
      <c r="T147" s="220"/>
    </row>
    <row r="148" spans="1:20" ht="12" customHeight="1">
      <c r="A148" s="47"/>
      <c r="B148" s="48"/>
      <c r="C148" s="47" t="s">
        <v>258</v>
      </c>
      <c r="D148" s="47"/>
      <c r="T148" s="220"/>
    </row>
    <row r="149" spans="1:20" ht="12" customHeight="1">
      <c r="A149" s="47"/>
      <c r="B149" s="48"/>
      <c r="C149" s="47" t="s">
        <v>398</v>
      </c>
      <c r="D149" s="47"/>
      <c r="T149" s="220"/>
    </row>
    <row r="150" spans="1:20" ht="12" customHeight="1">
      <c r="A150" s="47"/>
      <c r="B150" s="48"/>
      <c r="C150" s="47"/>
      <c r="D150" s="47"/>
      <c r="T150" s="220"/>
    </row>
    <row r="151" spans="1:20" ht="12" customHeight="1">
      <c r="A151" s="47"/>
      <c r="B151" s="48" t="s">
        <v>222</v>
      </c>
      <c r="C151" s="47" t="s">
        <v>399</v>
      </c>
      <c r="D151" s="47"/>
      <c r="L151" s="265"/>
      <c r="T151" s="220" t="s">
        <v>441</v>
      </c>
    </row>
    <row r="152" spans="1:20" ht="12" customHeight="1">
      <c r="A152" s="47"/>
      <c r="B152" s="48"/>
      <c r="C152" s="47" t="s">
        <v>400</v>
      </c>
      <c r="D152" s="47"/>
      <c r="T152" s="220"/>
    </row>
    <row r="153" spans="1:20" ht="12" customHeight="1">
      <c r="A153" s="47"/>
      <c r="B153" s="48"/>
      <c r="C153" s="47"/>
      <c r="D153" s="47"/>
      <c r="T153" s="220"/>
    </row>
    <row r="154" spans="1:20" ht="12" customHeight="1">
      <c r="A154" s="47"/>
      <c r="B154" s="48" t="s">
        <v>223</v>
      </c>
      <c r="C154" s="47" t="s">
        <v>401</v>
      </c>
      <c r="D154" s="47"/>
      <c r="L154" s="265"/>
      <c r="T154" s="220" t="s">
        <v>442</v>
      </c>
    </row>
    <row r="155" spans="1:20" ht="12" customHeight="1">
      <c r="A155" s="47"/>
      <c r="B155" s="48"/>
      <c r="C155" s="47"/>
      <c r="D155" s="47"/>
      <c r="T155" s="220"/>
    </row>
    <row r="156" spans="1:20" ht="12" customHeight="1">
      <c r="A156" s="47"/>
      <c r="B156" s="48" t="s">
        <v>402</v>
      </c>
      <c r="C156" s="47" t="s">
        <v>403</v>
      </c>
      <c r="D156" s="47"/>
      <c r="L156" s="265"/>
      <c r="T156" s="220" t="s">
        <v>443</v>
      </c>
    </row>
    <row r="157" spans="1:20" ht="12" customHeight="1">
      <c r="A157" s="47"/>
      <c r="B157" s="47"/>
      <c r="C157" s="47" t="s">
        <v>404</v>
      </c>
      <c r="D157" s="47"/>
      <c r="T157" s="220"/>
    </row>
    <row r="158" spans="1:20" ht="12" customHeight="1">
      <c r="C158" s="47"/>
      <c r="T158" s="220"/>
    </row>
    <row r="159" spans="1:20" ht="12" customHeight="1">
      <c r="C159" s="47"/>
      <c r="T159" s="220"/>
    </row>
    <row r="160" spans="1:20" ht="12" customHeight="1">
      <c r="T160" s="220"/>
    </row>
    <row r="161" spans="1:20" ht="15.5" hidden="1">
      <c r="A161" s="191" t="s">
        <v>252</v>
      </c>
      <c r="B161" s="174"/>
      <c r="C161" s="172"/>
      <c r="D161" s="172"/>
      <c r="E161" s="173"/>
      <c r="F161" s="172"/>
      <c r="G161" s="172"/>
      <c r="H161" s="172"/>
      <c r="I161" s="172"/>
      <c r="J161" s="172"/>
      <c r="K161" s="172"/>
      <c r="L161" s="172"/>
      <c r="M161" s="172"/>
      <c r="N161" s="172"/>
      <c r="T161" s="220"/>
    </row>
    <row r="162" spans="1:20" ht="13" hidden="1">
      <c r="A162" s="47"/>
      <c r="B162" s="47" t="s">
        <v>311</v>
      </c>
      <c r="C162" s="47"/>
      <c r="D162" s="47"/>
      <c r="E162" s="47"/>
      <c r="F162" s="47"/>
      <c r="G162" s="47"/>
      <c r="H162" s="47"/>
      <c r="I162" s="47"/>
      <c r="J162" s="47"/>
      <c r="T162" s="220"/>
    </row>
    <row r="163" spans="1:20" ht="13" hidden="1">
      <c r="A163" s="47"/>
      <c r="B163" s="47" t="s">
        <v>312</v>
      </c>
      <c r="C163" s="47"/>
      <c r="D163" s="47"/>
      <c r="E163" s="47"/>
      <c r="F163" s="47"/>
      <c r="G163" s="47"/>
      <c r="H163" s="47"/>
      <c r="I163" s="47"/>
      <c r="J163" s="47"/>
      <c r="T163" s="220"/>
    </row>
    <row r="164" spans="1:20" ht="26.5" hidden="1" thickBot="1">
      <c r="A164" s="47"/>
      <c r="B164" s="47" t="s">
        <v>313</v>
      </c>
      <c r="C164" s="47"/>
      <c r="D164" s="47"/>
      <c r="E164" s="47"/>
      <c r="F164" s="47"/>
      <c r="G164" s="47"/>
      <c r="H164" s="47"/>
      <c r="I164" s="47"/>
      <c r="J164" s="47"/>
      <c r="L164" s="123" t="s">
        <v>217</v>
      </c>
      <c r="T164" s="220"/>
    </row>
    <row r="165" spans="1:20" ht="13" hidden="1">
      <c r="A165" s="47"/>
      <c r="B165" s="47"/>
      <c r="C165" s="47"/>
      <c r="D165" s="47"/>
      <c r="E165" s="47"/>
      <c r="F165" s="47"/>
      <c r="G165" s="47"/>
      <c r="H165" s="47"/>
      <c r="I165" s="47"/>
      <c r="J165" s="47"/>
      <c r="T165" s="220"/>
    </row>
    <row r="166" spans="1:20" ht="13" hidden="1">
      <c r="A166" s="169" t="s">
        <v>10</v>
      </c>
      <c r="B166" s="185" t="s">
        <v>339</v>
      </c>
      <c r="C166" s="47"/>
      <c r="D166" s="47"/>
      <c r="E166" s="47"/>
      <c r="F166" s="47"/>
      <c r="G166" s="47"/>
      <c r="H166" s="47"/>
      <c r="I166" s="47"/>
      <c r="J166" s="47"/>
      <c r="L166" s="265"/>
      <c r="T166" s="220" t="s">
        <v>444</v>
      </c>
    </row>
    <row r="167" spans="1:20" ht="13" hidden="1">
      <c r="A167" s="47"/>
      <c r="B167" s="47" t="s">
        <v>314</v>
      </c>
      <c r="C167" s="47"/>
      <c r="D167" s="47"/>
      <c r="E167" s="47"/>
      <c r="F167" s="47"/>
      <c r="G167" s="47"/>
      <c r="H167" s="47"/>
      <c r="I167" s="47"/>
      <c r="J167" s="47"/>
      <c r="T167" s="220"/>
    </row>
    <row r="168" spans="1:20" ht="13" hidden="1">
      <c r="A168" s="47"/>
      <c r="B168" s="133" t="str">
        <f>CONCATENATE("the qualifying percentage for the latest filed cost reporting period is ",TEXT(MIUR_Threshold,"0.00%"),".")</f>
        <v>the qualifying percentage for the latest filed cost reporting period is 0.00%.</v>
      </c>
      <c r="C168" s="47"/>
      <c r="D168" s="47"/>
      <c r="E168" s="47"/>
      <c r="F168" s="47"/>
      <c r="G168" s="47"/>
      <c r="H168" s="47"/>
      <c r="I168" s="47"/>
      <c r="J168" s="47"/>
      <c r="T168" s="220"/>
    </row>
    <row r="169" spans="1:20" ht="13" hidden="1">
      <c r="A169" s="47"/>
      <c r="B169" s="47"/>
      <c r="C169" s="47"/>
      <c r="D169" s="47"/>
      <c r="E169" s="47"/>
      <c r="F169" s="47"/>
      <c r="G169" s="47"/>
      <c r="H169" s="47"/>
      <c r="I169" s="47"/>
      <c r="J169" s="47"/>
      <c r="T169" s="220"/>
    </row>
    <row r="170" spans="1:20" ht="13" hidden="1">
      <c r="A170" s="47"/>
      <c r="B170" s="185" t="s">
        <v>340</v>
      </c>
      <c r="C170" s="47"/>
      <c r="D170" s="47"/>
      <c r="E170" s="47"/>
      <c r="F170" s="47"/>
      <c r="G170" s="47"/>
      <c r="H170" s="47"/>
      <c r="I170" s="47"/>
      <c r="J170" s="47"/>
      <c r="T170" s="220"/>
    </row>
    <row r="171" spans="1:20" ht="13" hidden="1">
      <c r="A171" s="47"/>
      <c r="B171" s="47"/>
      <c r="C171" s="47"/>
      <c r="D171" s="47"/>
      <c r="E171" s="47"/>
      <c r="F171" s="47"/>
      <c r="G171" s="47"/>
      <c r="H171" s="47"/>
      <c r="I171" s="47"/>
      <c r="J171" s="47"/>
      <c r="T171" s="220"/>
    </row>
    <row r="172" spans="1:20" ht="13" hidden="1">
      <c r="A172" s="47"/>
      <c r="B172" s="47" t="s">
        <v>341</v>
      </c>
      <c r="C172" s="117"/>
      <c r="D172" s="47"/>
      <c r="E172" s="47"/>
      <c r="F172" s="47"/>
      <c r="G172" s="47"/>
      <c r="H172" s="47"/>
      <c r="I172" s="47"/>
      <c r="J172" s="47"/>
      <c r="T172" s="220"/>
    </row>
    <row r="173" spans="1:20" ht="13" hidden="1">
      <c r="A173" s="47"/>
      <c r="B173" s="47"/>
      <c r="C173" s="47"/>
      <c r="D173" s="47"/>
      <c r="E173" s="47"/>
      <c r="F173" s="47"/>
      <c r="G173" s="47"/>
      <c r="H173" s="47"/>
      <c r="I173" s="47"/>
      <c r="J173" s="47"/>
      <c r="T173" s="220"/>
    </row>
    <row r="174" spans="1:20" ht="13" hidden="1">
      <c r="A174" s="47"/>
      <c r="B174" s="47" t="s">
        <v>315</v>
      </c>
      <c r="C174" s="47"/>
      <c r="D174" s="47"/>
      <c r="E174" s="47"/>
      <c r="F174" s="47"/>
      <c r="G174" s="47"/>
      <c r="H174" s="47"/>
      <c r="I174" s="47"/>
      <c r="J174" s="47"/>
      <c r="T174" s="220"/>
    </row>
    <row r="175" spans="1:20" ht="13" hidden="1">
      <c r="A175" s="47"/>
      <c r="B175" s="47" t="s">
        <v>316</v>
      </c>
      <c r="C175" s="47"/>
      <c r="D175" s="47"/>
      <c r="E175" s="47"/>
      <c r="F175" s="47"/>
      <c r="G175" s="47"/>
      <c r="H175" s="47"/>
      <c r="I175" s="47"/>
      <c r="J175" s="47"/>
      <c r="T175" s="220"/>
    </row>
    <row r="176" spans="1:20" ht="13" hidden="1">
      <c r="A176" s="47"/>
      <c r="B176" s="47" t="s">
        <v>317</v>
      </c>
      <c r="C176" s="47"/>
      <c r="D176" s="47"/>
      <c r="E176" s="47"/>
      <c r="F176" s="47"/>
      <c r="G176" s="47"/>
      <c r="H176" s="47"/>
      <c r="I176" s="47"/>
      <c r="J176" s="47"/>
      <c r="T176" s="220"/>
    </row>
    <row r="177" spans="1:20" ht="13" hidden="1">
      <c r="A177" s="47"/>
      <c r="B177" s="47" t="s">
        <v>318</v>
      </c>
      <c r="C177" s="47"/>
      <c r="D177" s="47"/>
      <c r="E177" s="47"/>
      <c r="F177" s="47"/>
      <c r="G177" s="47"/>
      <c r="H177" s="47"/>
      <c r="I177" s="47"/>
      <c r="J177" s="47"/>
      <c r="T177" s="220"/>
    </row>
    <row r="178" spans="1:20" ht="13" hidden="1">
      <c r="A178" s="47"/>
      <c r="B178" s="47" t="str">
        <f>CONCATENATE("available coverage). Hospitals that did not have at least ",TEXT(MIUR_Threshold,"0.00%")," Medicaid inpatient days’ utilization or qualify")</f>
        <v>available coverage). Hospitals that did not have at least 0.00% Medicaid inpatient days’ utilization or qualify</v>
      </c>
      <c r="C178" s="47"/>
      <c r="D178" s="47"/>
      <c r="E178" s="47"/>
      <c r="F178" s="47"/>
      <c r="G178" s="47"/>
      <c r="H178" s="47"/>
      <c r="I178" s="47"/>
      <c r="J178" s="47"/>
      <c r="T178" s="220"/>
    </row>
    <row r="179" spans="1:20" ht="13" hidden="1">
      <c r="A179" s="47"/>
      <c r="B179" s="47" t="s">
        <v>319</v>
      </c>
      <c r="C179" s="47"/>
      <c r="D179" s="47"/>
      <c r="E179" s="47"/>
      <c r="F179" s="47"/>
      <c r="G179" s="47"/>
      <c r="H179" s="47"/>
      <c r="I179" s="47"/>
      <c r="J179" s="47"/>
      <c r="T179" s="220"/>
    </row>
    <row r="180" spans="1:20" ht="13" hidden="1">
      <c r="A180" s="47"/>
      <c r="B180" s="47" t="s">
        <v>320</v>
      </c>
      <c r="C180" s="47"/>
      <c r="D180" s="47"/>
      <c r="E180" s="47"/>
      <c r="F180" s="47"/>
      <c r="G180" s="47"/>
      <c r="H180" s="47"/>
      <c r="I180" s="47"/>
      <c r="J180" s="47"/>
      <c r="T180" s="220"/>
    </row>
    <row r="181" spans="1:20" ht="13" hidden="1">
      <c r="A181" s="47"/>
      <c r="B181" s="47" t="s">
        <v>321</v>
      </c>
      <c r="C181" s="47"/>
      <c r="D181" s="47"/>
      <c r="E181" s="47"/>
      <c r="F181" s="47"/>
      <c r="G181" s="47"/>
      <c r="H181" s="47"/>
      <c r="I181" s="47"/>
      <c r="J181" s="47"/>
      <c r="T181" s="220"/>
    </row>
    <row r="182" spans="1:20" ht="13" hidden="1">
      <c r="A182" s="47"/>
      <c r="B182" s="47" t="s">
        <v>322</v>
      </c>
      <c r="C182" s="47"/>
      <c r="D182" s="47"/>
      <c r="E182" s="47"/>
      <c r="F182" s="47"/>
      <c r="G182" s="47"/>
      <c r="H182" s="47"/>
      <c r="I182" s="47"/>
      <c r="J182" s="47"/>
      <c r="T182" s="220"/>
    </row>
    <row r="183" spans="1:20" ht="13" hidden="1">
      <c r="A183" s="47"/>
      <c r="B183" s="47" t="s">
        <v>323</v>
      </c>
      <c r="C183" s="47"/>
      <c r="D183" s="47"/>
      <c r="E183" s="47"/>
      <c r="F183" s="47"/>
      <c r="G183" s="47"/>
      <c r="H183" s="47"/>
      <c r="I183" s="47"/>
      <c r="J183" s="47"/>
      <c r="T183" s="220"/>
    </row>
    <row r="184" spans="1:20" ht="13" hidden="1">
      <c r="A184" s="47"/>
      <c r="B184" s="47"/>
      <c r="C184" s="47"/>
      <c r="D184" s="47"/>
      <c r="E184" s="47"/>
      <c r="F184" s="47"/>
      <c r="G184" s="47"/>
      <c r="H184" s="47"/>
      <c r="I184" s="47"/>
      <c r="J184" s="47"/>
      <c r="T184" s="220"/>
    </row>
    <row r="185" spans="1:20" ht="13" hidden="1">
      <c r="A185" s="47"/>
      <c r="B185" s="132" t="s">
        <v>324</v>
      </c>
      <c r="C185" s="47"/>
      <c r="D185" s="47"/>
      <c r="E185" s="47"/>
      <c r="F185" s="47"/>
      <c r="G185" s="47"/>
      <c r="H185" s="47"/>
      <c r="I185" s="47"/>
      <c r="J185" s="47"/>
      <c r="T185" s="220"/>
    </row>
    <row r="186" spans="1:20" ht="13" hidden="1">
      <c r="A186" s="47"/>
      <c r="B186" s="47"/>
      <c r="C186" s="47"/>
      <c r="D186" s="47"/>
      <c r="E186" s="47"/>
      <c r="F186" s="47"/>
      <c r="G186" s="47"/>
      <c r="H186" s="47"/>
      <c r="I186" s="47"/>
      <c r="J186" s="47"/>
      <c r="T186" s="220"/>
    </row>
    <row r="187" spans="1:20" ht="13" hidden="1">
      <c r="A187" s="169" t="s">
        <v>11</v>
      </c>
      <c r="B187" s="47" t="s">
        <v>333</v>
      </c>
      <c r="C187" s="47"/>
      <c r="D187" s="47"/>
      <c r="E187" s="47"/>
      <c r="F187" s="47"/>
      <c r="G187" s="47"/>
      <c r="H187" s="47"/>
      <c r="I187" s="47"/>
      <c r="J187" s="47"/>
      <c r="L187" s="265"/>
      <c r="T187" s="220" t="s">
        <v>445</v>
      </c>
    </row>
    <row r="188" spans="1:20" ht="13" hidden="1">
      <c r="A188" s="47"/>
      <c r="B188" s="47" t="s">
        <v>325</v>
      </c>
      <c r="C188" s="47"/>
      <c r="D188" s="47"/>
      <c r="E188" s="47"/>
      <c r="F188" s="47"/>
      <c r="G188" s="47"/>
      <c r="H188" s="47"/>
      <c r="I188" s="47"/>
      <c r="J188" s="47"/>
      <c r="T188" s="220"/>
    </row>
    <row r="189" spans="1:20" ht="13" hidden="1">
      <c r="A189" s="47"/>
      <c r="B189" s="47" t="s">
        <v>326</v>
      </c>
      <c r="C189" s="47"/>
      <c r="D189" s="47"/>
      <c r="E189" s="47"/>
      <c r="F189" s="47"/>
      <c r="G189" s="47"/>
      <c r="H189" s="47"/>
      <c r="I189" s="47"/>
      <c r="J189" s="47"/>
      <c r="T189" s="220"/>
    </row>
    <row r="190" spans="1:20" ht="13" hidden="1">
      <c r="A190" s="47"/>
      <c r="B190" s="47"/>
      <c r="C190" s="47"/>
      <c r="D190" s="47"/>
      <c r="E190" s="47"/>
      <c r="F190" s="47"/>
      <c r="G190" s="47"/>
      <c r="H190" s="47"/>
      <c r="I190" s="47"/>
      <c r="J190" s="47"/>
      <c r="T190" s="220"/>
    </row>
    <row r="191" spans="1:20" ht="13" hidden="1">
      <c r="A191" s="47"/>
      <c r="B191" s="185" t="s">
        <v>327</v>
      </c>
      <c r="C191" s="47"/>
      <c r="D191" s="47"/>
      <c r="E191" s="47"/>
      <c r="F191" s="47"/>
      <c r="G191" s="47"/>
      <c r="H191" s="47"/>
      <c r="I191" s="47"/>
      <c r="J191" s="47"/>
      <c r="T191" s="220"/>
    </row>
    <row r="192" spans="1:20" ht="13" hidden="1">
      <c r="A192" s="47"/>
      <c r="B192" s="47"/>
      <c r="C192" s="47"/>
      <c r="D192" s="47"/>
      <c r="E192" s="47"/>
      <c r="F192" s="47"/>
      <c r="G192" s="47"/>
      <c r="H192" s="47"/>
      <c r="I192" s="47"/>
      <c r="J192" s="47"/>
      <c r="T192" s="220"/>
    </row>
    <row r="193" spans="1:20" ht="13" hidden="1">
      <c r="A193" s="47"/>
      <c r="B193" s="47" t="s">
        <v>342</v>
      </c>
      <c r="C193" s="117"/>
      <c r="D193" s="117"/>
      <c r="E193" s="117"/>
      <c r="F193" s="47"/>
      <c r="G193" s="47"/>
      <c r="H193" s="47"/>
      <c r="I193" s="47"/>
      <c r="J193" s="47"/>
      <c r="T193" s="220"/>
    </row>
    <row r="194" spans="1:20" ht="13" hidden="1">
      <c r="A194" s="47"/>
      <c r="B194" s="47"/>
      <c r="C194" s="117"/>
      <c r="D194" s="117"/>
      <c r="E194" s="117"/>
      <c r="F194" s="47"/>
      <c r="G194" s="47"/>
      <c r="H194" s="47"/>
      <c r="I194" s="47"/>
      <c r="J194" s="47"/>
      <c r="T194" s="220"/>
    </row>
    <row r="195" spans="1:20" ht="13" hidden="1">
      <c r="A195" s="47"/>
      <c r="B195" s="47" t="s">
        <v>343</v>
      </c>
      <c r="C195" s="117"/>
      <c r="D195" s="117"/>
      <c r="E195" s="117"/>
      <c r="F195" s="47"/>
      <c r="G195" s="47"/>
      <c r="H195" s="47"/>
      <c r="I195" s="47"/>
      <c r="J195" s="47"/>
      <c r="T195" s="220"/>
    </row>
    <row r="196" spans="1:20" ht="13" hidden="1">
      <c r="A196" s="47"/>
      <c r="B196" s="47"/>
      <c r="C196" s="47"/>
      <c r="D196" s="47"/>
      <c r="E196" s="47"/>
      <c r="F196" s="47"/>
      <c r="G196" s="47"/>
      <c r="H196" s="47"/>
      <c r="I196" s="47"/>
      <c r="J196" s="47"/>
      <c r="T196" s="220"/>
    </row>
    <row r="197" spans="1:20" ht="13" hidden="1">
      <c r="A197" s="47"/>
      <c r="B197" s="133" t="s">
        <v>344</v>
      </c>
      <c r="C197" s="47"/>
      <c r="D197" s="47"/>
      <c r="E197" s="47"/>
      <c r="F197" s="47"/>
      <c r="G197" s="47"/>
      <c r="H197" s="47"/>
      <c r="I197" s="47"/>
      <c r="J197" s="47"/>
      <c r="T197" s="220"/>
    </row>
    <row r="198" spans="1:20" ht="13" hidden="1">
      <c r="A198" s="47"/>
      <c r="B198" s="47"/>
      <c r="C198" s="47"/>
      <c r="D198" s="47"/>
      <c r="E198" s="47"/>
      <c r="F198" s="47"/>
      <c r="G198" s="47"/>
      <c r="H198" s="47"/>
      <c r="I198" s="47"/>
      <c r="J198" s="47"/>
      <c r="T198" s="220"/>
    </row>
    <row r="199" spans="1:20" ht="13" hidden="1">
      <c r="A199" s="47"/>
      <c r="B199" s="47" t="s">
        <v>334</v>
      </c>
      <c r="C199" s="47"/>
      <c r="D199" s="47"/>
      <c r="E199" s="47"/>
      <c r="F199" s="47"/>
      <c r="G199" s="47"/>
      <c r="H199" s="47"/>
      <c r="I199" s="47"/>
      <c r="J199" s="47"/>
      <c r="T199" s="220"/>
    </row>
    <row r="200" spans="1:20" ht="13" hidden="1">
      <c r="A200" s="47"/>
      <c r="B200" s="47" t="s">
        <v>328</v>
      </c>
      <c r="C200" s="47"/>
      <c r="D200" s="47"/>
      <c r="E200" s="47"/>
      <c r="F200" s="47"/>
      <c r="G200" s="47"/>
      <c r="H200" s="47"/>
      <c r="I200" s="47"/>
      <c r="J200" s="47"/>
      <c r="T200" s="220"/>
    </row>
    <row r="201" spans="1:20" ht="13" hidden="1">
      <c r="A201" s="47"/>
      <c r="B201" s="47" t="s">
        <v>329</v>
      </c>
      <c r="C201" s="47"/>
      <c r="D201" s="47"/>
      <c r="E201" s="47"/>
      <c r="F201" s="47"/>
      <c r="G201" s="47"/>
      <c r="H201" s="47"/>
      <c r="I201" s="47"/>
      <c r="J201" s="47"/>
      <c r="T201" s="220"/>
    </row>
    <row r="202" spans="1:20" ht="13" hidden="1">
      <c r="A202" s="47"/>
      <c r="B202" s="47"/>
      <c r="C202" s="47"/>
      <c r="D202" s="47"/>
      <c r="E202" s="47"/>
      <c r="F202" s="47"/>
      <c r="G202" s="47"/>
      <c r="H202" s="47"/>
      <c r="I202" s="47"/>
      <c r="J202" s="47"/>
      <c r="T202" s="220"/>
    </row>
    <row r="203" spans="1:20" ht="13" hidden="1">
      <c r="A203" s="169" t="s">
        <v>330</v>
      </c>
      <c r="B203" s="47" t="s">
        <v>331</v>
      </c>
      <c r="C203" s="47"/>
      <c r="D203" s="47"/>
      <c r="E203" s="47"/>
      <c r="F203" s="47"/>
      <c r="G203" s="47"/>
      <c r="H203" s="47"/>
      <c r="I203" s="47"/>
      <c r="J203" s="47"/>
      <c r="L203" s="265"/>
      <c r="T203" s="220" t="s">
        <v>446</v>
      </c>
    </row>
    <row r="204" spans="1:20" ht="13" hidden="1">
      <c r="A204" s="47"/>
      <c r="B204" s="47" t="s">
        <v>332</v>
      </c>
      <c r="C204" s="47"/>
      <c r="D204" s="47"/>
      <c r="E204" s="47"/>
      <c r="F204" s="47"/>
      <c r="G204" s="47"/>
      <c r="H204" s="47"/>
      <c r="I204" s="47"/>
      <c r="J204" s="47"/>
      <c r="T204" s="220"/>
    </row>
    <row r="205" spans="1:20" ht="12" hidden="1" customHeight="1">
      <c r="T205" s="220"/>
    </row>
    <row r="206" spans="1:20" ht="12" hidden="1" customHeight="1">
      <c r="T206" s="220"/>
    </row>
    <row r="207" spans="1:20" ht="15.65" hidden="1" customHeight="1">
      <c r="A207" s="191" t="s">
        <v>363</v>
      </c>
      <c r="B207" s="174"/>
      <c r="C207" s="172"/>
      <c r="D207" s="172"/>
      <c r="E207" s="173"/>
      <c r="F207" s="172"/>
      <c r="G207" s="172"/>
      <c r="H207" s="172"/>
      <c r="I207" s="172"/>
      <c r="J207" s="172"/>
      <c r="K207" s="172"/>
      <c r="L207" s="172"/>
      <c r="M207" s="172"/>
      <c r="N207" s="172"/>
      <c r="T207" s="220"/>
    </row>
    <row r="208" spans="1:20" ht="12" hidden="1" customHeight="1">
      <c r="T208" s="220"/>
    </row>
    <row r="209" spans="1:20" ht="12" hidden="1" customHeight="1" thickBot="1">
      <c r="B209" s="132" t="s">
        <v>356</v>
      </c>
      <c r="C209" s="113"/>
      <c r="D209" s="113"/>
      <c r="E209" s="113"/>
      <c r="F209" s="113"/>
      <c r="G209" s="113"/>
      <c r="H209" s="113"/>
      <c r="I209" s="113"/>
      <c r="J209" s="113"/>
      <c r="K209" s="113"/>
      <c r="L209" s="199" t="s">
        <v>367</v>
      </c>
      <c r="T209" s="220"/>
    </row>
    <row r="210" spans="1:20" ht="12" hidden="1" customHeight="1">
      <c r="A210" s="192"/>
      <c r="B210" s="192"/>
      <c r="T210" s="220"/>
    </row>
    <row r="211" spans="1:20" ht="12" hidden="1" customHeight="1">
      <c r="A211" s="169" t="s">
        <v>10</v>
      </c>
      <c r="B211" s="47" t="s">
        <v>357</v>
      </c>
      <c r="L211" s="265"/>
      <c r="T211" s="220" t="s">
        <v>447</v>
      </c>
    </row>
    <row r="212" spans="1:20" ht="12" hidden="1" customHeight="1">
      <c r="A212" s="169"/>
      <c r="B212" s="47"/>
      <c r="T212" s="220"/>
    </row>
    <row r="213" spans="1:20" ht="12" hidden="1" customHeight="1">
      <c r="A213" s="169" t="str">
        <f>A211+1&amp;"."</f>
        <v>2.</v>
      </c>
      <c r="B213" s="47" t="s">
        <v>358</v>
      </c>
      <c r="L213" s="265"/>
      <c r="T213" s="220" t="s">
        <v>448</v>
      </c>
    </row>
    <row r="214" spans="1:20" ht="12" hidden="1" customHeight="1">
      <c r="A214" s="169"/>
      <c r="B214" s="47"/>
      <c r="T214" s="220"/>
    </row>
    <row r="215" spans="1:20" ht="12" hidden="1" customHeight="1">
      <c r="A215" s="169" t="str">
        <f>A213+1&amp;"."</f>
        <v>3.</v>
      </c>
      <c r="B215" s="47" t="s">
        <v>359</v>
      </c>
      <c r="L215" s="265"/>
      <c r="T215" s="220" t="s">
        <v>449</v>
      </c>
    </row>
    <row r="216" spans="1:20" ht="12" hidden="1" customHeight="1">
      <c r="A216" s="169"/>
      <c r="B216" s="47" t="s">
        <v>360</v>
      </c>
      <c r="T216" s="220"/>
    </row>
    <row r="217" spans="1:20" ht="12" customHeight="1">
      <c r="A217" s="193"/>
    </row>
    <row r="218" spans="1:20" ht="12" customHeight="1"/>
    <row r="219" spans="1:20" ht="12" customHeight="1"/>
  </sheetData>
  <sheetProtection algorithmName="SHA-512" hashValue="Falu3F+yfeBg2j2xhgb/SRaLcXwDwan+6+y0rTsfPeD0ano+R8ALpgF0f26UrRdLFm9m+mnano7V4okY0OCz2Q==" saltValue="FsWaYDLKe7OMlb31cuQ0/Q==" spinCount="100000" sheet="1" objects="1" scenarios="1" formatCells="0"/>
  <mergeCells count="1">
    <mergeCell ref="A16:J20"/>
  </mergeCells>
  <conditionalFormatting sqref="A207:XFD210 A211:K211 M211:S211 U211:IV211 A212:XFD212 A213:K213 M213:S213 U213:IV213 A214:XFD214 A215:K215 M215:S215 U215:IV215 A216:XFD216">
    <cfRule type="expression" dxfId="17" priority="1">
      <formula>Act_540="No"</formula>
    </cfRule>
  </conditionalFormatting>
  <dataValidations count="3">
    <dataValidation type="list" allowBlank="1" showInputMessage="1" showErrorMessage="1" sqref="N22" xr:uid="{00000000-0002-0000-0600-000000000000}">
      <formula1>$AH$1:$AH$3</formula1>
    </dataValidation>
    <dataValidation type="list" allowBlank="1" showInputMessage="1" showErrorMessage="1" sqref="L127 L166 L187 L125 L120 L105 L117 L87:L88 L203 L102 L80 L211 L213 L215 L143 L146 L151 L154 L156" xr:uid="{00000000-0002-0000-0600-000001000000}">
      <formula1>"Yes, No, N/A"</formula1>
    </dataValidation>
    <dataValidation type="list" allowBlank="1" showInputMessage="1" showErrorMessage="1" sqref="L22 L26 L32 L36 L40 L43 L46 L51 L56 L61 L65 L69 L73 L77 L79" xr:uid="{00000000-0002-0000-0600-000002000000}">
      <formula1>"Yes,No"</formula1>
    </dataValidation>
  </dataValidations>
  <pageMargins left="0.7" right="0.7" top="0.75" bottom="0.75" header="0.3" footer="0.3"/>
  <pageSetup scale="70" fitToHeight="0" orientation="portrait"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F14"/>
  <sheetViews>
    <sheetView workbookViewId="0"/>
  </sheetViews>
  <sheetFormatPr defaultRowHeight="13"/>
  <sheetData>
    <row r="1" spans="1:6">
      <c r="A1" s="244" t="s">
        <v>545</v>
      </c>
      <c r="B1" s="244" t="s">
        <v>1247</v>
      </c>
      <c r="E1" s="244" t="s">
        <v>1247</v>
      </c>
      <c r="F1" s="244" t="s">
        <v>1248</v>
      </c>
    </row>
    <row r="2" spans="1:6">
      <c r="E2">
        <v>1</v>
      </c>
      <c r="F2" t="s">
        <v>1234</v>
      </c>
    </row>
    <row r="3" spans="1:6">
      <c r="E3">
        <v>2</v>
      </c>
      <c r="F3" t="s">
        <v>1235</v>
      </c>
    </row>
    <row r="4" spans="1:6">
      <c r="E4">
        <v>3</v>
      </c>
      <c r="F4" t="s">
        <v>1236</v>
      </c>
    </row>
    <row r="5" spans="1:6">
      <c r="E5">
        <v>4</v>
      </c>
      <c r="F5" t="s">
        <v>1237</v>
      </c>
    </row>
    <row r="6" spans="1:6">
      <c r="E6">
        <v>5</v>
      </c>
      <c r="F6" t="s">
        <v>1238</v>
      </c>
    </row>
    <row r="7" spans="1:6">
      <c r="E7">
        <v>6</v>
      </c>
      <c r="F7" t="s">
        <v>1239</v>
      </c>
    </row>
    <row r="8" spans="1:6">
      <c r="E8">
        <v>7</v>
      </c>
      <c r="F8" t="s">
        <v>1240</v>
      </c>
    </row>
    <row r="9" spans="1:6">
      <c r="E9">
        <v>8</v>
      </c>
      <c r="F9" t="s">
        <v>1241</v>
      </c>
    </row>
    <row r="10" spans="1:6">
      <c r="E10">
        <v>9</v>
      </c>
      <c r="F10" t="s">
        <v>1242</v>
      </c>
    </row>
    <row r="11" spans="1:6">
      <c r="E11">
        <v>10</v>
      </c>
      <c r="F11" t="s">
        <v>1243</v>
      </c>
    </row>
    <row r="12" spans="1:6">
      <c r="E12">
        <v>11</v>
      </c>
      <c r="F12" t="s">
        <v>1244</v>
      </c>
    </row>
    <row r="13" spans="1:6">
      <c r="E13">
        <v>12</v>
      </c>
      <c r="F13" t="s">
        <v>1245</v>
      </c>
    </row>
    <row r="14" spans="1:6">
      <c r="E14">
        <v>13</v>
      </c>
      <c r="F14" t="s">
        <v>1246</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2022</oddHeader>
    <oddFooter>&amp;L6.02&amp;CProperty of Myers and Stauffer LC&amp;RPage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indexed="12"/>
  </sheetPr>
  <dimension ref="A1:AN429"/>
  <sheetViews>
    <sheetView showGridLines="0" tabSelected="1" zoomScale="85" zoomScaleNormal="85" workbookViewId="0">
      <selection activeCell="G113" sqref="G113"/>
    </sheetView>
  </sheetViews>
  <sheetFormatPr defaultColWidth="0" defaultRowHeight="12.5" zeroHeight="1"/>
  <cols>
    <col min="1" max="1" width="5.796875" style="47" customWidth="1"/>
    <col min="2" max="2" width="61.19921875" style="47" customWidth="1"/>
    <col min="3" max="3" width="23.69921875" style="47" customWidth="1"/>
    <col min="4" max="4" width="1.796875" style="47" customWidth="1"/>
    <col min="5" max="5" width="20.69921875" style="47" customWidth="1"/>
    <col min="6" max="6" width="2" style="47" customWidth="1"/>
    <col min="7" max="7" width="21" style="47" customWidth="1"/>
    <col min="8" max="8" width="1.69921875" style="47" customWidth="1"/>
    <col min="9" max="9" width="20.5" style="47" customWidth="1"/>
    <col min="10" max="10" width="1.796875" style="47" customWidth="1"/>
    <col min="11" max="11" width="21" style="47" customWidth="1"/>
    <col min="12" max="12" width="1.796875" style="47" customWidth="1"/>
    <col min="13" max="13" width="21" style="47" customWidth="1"/>
    <col min="14" max="14" width="1.796875" style="47" customWidth="1"/>
    <col min="15" max="15" width="1.796875" style="49" customWidth="1"/>
    <col min="16" max="16" width="1.796875" style="47" hidden="1" customWidth="1"/>
    <col min="17" max="17" width="14.19921875" style="47" hidden="1" customWidth="1"/>
    <col min="18" max="18" width="1.796875" style="47" hidden="1" customWidth="1"/>
    <col min="19" max="19" width="21" style="47" hidden="1" customWidth="1"/>
    <col min="20" max="20" width="1.796875" style="47" hidden="1" customWidth="1"/>
    <col min="21" max="21" width="21" style="47" hidden="1" customWidth="1"/>
    <col min="22" max="22" width="1.796875" style="47" hidden="1" customWidth="1"/>
    <col min="23" max="23" width="21" style="47" hidden="1" customWidth="1"/>
    <col min="24" max="24" width="1.796875" style="47" hidden="1" customWidth="1"/>
    <col min="25" max="25" width="21" style="47" hidden="1" customWidth="1"/>
    <col min="26" max="26" width="1.796875" style="47" hidden="1" customWidth="1"/>
    <col min="27" max="27" width="8.796875" style="47" hidden="1" customWidth="1"/>
    <col min="28" max="28" width="1.796875" style="47" hidden="1" customWidth="1"/>
    <col min="29" max="29" width="45.69921875" style="47" hidden="1" customWidth="1"/>
    <col min="30" max="30" width="1.796875" style="47" hidden="1" customWidth="1"/>
    <col min="31" max="31" width="9.296875" style="47" hidden="1" customWidth="1"/>
    <col min="32" max="32" width="1.796875" style="47" hidden="1" customWidth="1"/>
    <col min="33" max="33" width="9.296875" style="47" hidden="1" customWidth="1"/>
    <col min="34" max="34" width="1.796875" style="47" hidden="1" customWidth="1"/>
    <col min="35" max="35" width="9.296875" style="47" hidden="1" customWidth="1"/>
    <col min="36" max="36" width="1.796875" style="47" hidden="1" customWidth="1"/>
    <col min="37" max="37" width="9.296875" style="47" hidden="1" customWidth="1"/>
    <col min="38" max="38" width="1.796875" style="47" hidden="1" customWidth="1"/>
    <col min="39" max="39" width="9.296875" style="47" hidden="1" customWidth="1"/>
    <col min="40" max="40" width="1.796875" style="47" hidden="1" customWidth="1"/>
    <col min="41" max="16384" width="9.296875" style="47" hidden="1"/>
  </cols>
  <sheetData>
    <row r="1" spans="1:31"/>
    <row r="2" spans="1:31" hidden="1">
      <c r="A2" s="223"/>
      <c r="B2" s="223"/>
      <c r="C2" s="223" t="s">
        <v>416</v>
      </c>
      <c r="D2" s="223"/>
      <c r="E2" s="223" t="s">
        <v>450</v>
      </c>
      <c r="F2" s="223"/>
      <c r="G2" s="223"/>
      <c r="H2" s="223"/>
      <c r="I2" s="223"/>
      <c r="J2" s="223"/>
      <c r="K2" s="223" t="s">
        <v>451</v>
      </c>
      <c r="L2" s="223"/>
      <c r="M2" s="223"/>
      <c r="N2" s="223"/>
      <c r="O2" s="223"/>
      <c r="P2" s="223"/>
      <c r="Q2" s="223"/>
    </row>
    <row r="3" spans="1:31">
      <c r="I3" s="48" t="s">
        <v>150</v>
      </c>
      <c r="K3" s="254">
        <v>6.02</v>
      </c>
      <c r="M3" s="99">
        <v>44967</v>
      </c>
      <c r="O3" s="47"/>
      <c r="Q3" s="223" t="s">
        <v>456</v>
      </c>
      <c r="AC3" s="47" t="str">
        <f>State</f>
        <v>Georgia</v>
      </c>
      <c r="AE3" s="47" t="s">
        <v>215</v>
      </c>
    </row>
    <row r="4" spans="1:31" s="5" customFormat="1" ht="15.5">
      <c r="A4" s="100" t="s">
        <v>120</v>
      </c>
      <c r="B4" s="101"/>
      <c r="C4" s="101"/>
      <c r="D4" s="41"/>
      <c r="E4" s="41"/>
      <c r="F4" s="41"/>
      <c r="G4" s="102"/>
      <c r="H4" s="102"/>
      <c r="I4" s="102"/>
      <c r="J4" s="41"/>
      <c r="K4" s="41"/>
      <c r="L4" s="41"/>
      <c r="M4" s="41"/>
      <c r="N4" s="41"/>
      <c r="O4" s="103"/>
      <c r="Q4" s="224"/>
      <c r="AC4" s="104">
        <f>Waiver_Response</f>
        <v>0</v>
      </c>
      <c r="AD4" s="104"/>
      <c r="AE4" s="5" t="s">
        <v>192</v>
      </c>
    </row>
    <row r="5" spans="1:31" ht="12" customHeight="1">
      <c r="C5" s="105" t="s">
        <v>116</v>
      </c>
      <c r="E5" s="105" t="s">
        <v>117</v>
      </c>
      <c r="M5" s="219"/>
      <c r="Q5" s="223"/>
      <c r="AC5" s="106"/>
      <c r="AD5" s="106"/>
    </row>
    <row r="6" spans="1:31" ht="13">
      <c r="A6" s="124">
        <v>1</v>
      </c>
      <c r="B6" s="108" t="s">
        <v>110</v>
      </c>
      <c r="C6" s="255">
        <f>DSH_Year_Begin</f>
        <v>44378</v>
      </c>
      <c r="E6" s="255">
        <f>DSH_Year_End</f>
        <v>44742</v>
      </c>
      <c r="H6" s="109"/>
      <c r="I6" s="109"/>
      <c r="Q6" s="223" t="s">
        <v>457</v>
      </c>
      <c r="AC6" s="106"/>
      <c r="AD6" s="106"/>
    </row>
    <row r="7" spans="1:31" ht="13">
      <c r="A7" s="107"/>
      <c r="B7" s="108"/>
      <c r="C7" s="50"/>
      <c r="E7" s="50"/>
      <c r="H7" s="109"/>
      <c r="I7" s="109"/>
      <c r="Q7" s="223"/>
      <c r="AC7" s="106"/>
      <c r="AD7" s="106"/>
    </row>
    <row r="8" spans="1:31" ht="13" hidden="1">
      <c r="A8" s="225"/>
      <c r="B8" s="226"/>
      <c r="C8" s="237" t="s">
        <v>452</v>
      </c>
      <c r="D8" s="223"/>
      <c r="E8" s="227"/>
      <c r="F8" s="223"/>
      <c r="G8" s="223"/>
      <c r="H8" s="228"/>
      <c r="I8" s="228"/>
      <c r="J8" s="223"/>
      <c r="K8" s="223"/>
      <c r="L8" s="223"/>
      <c r="M8" s="223"/>
      <c r="N8" s="223"/>
      <c r="O8" s="223"/>
      <c r="P8" s="223"/>
      <c r="Q8" s="223"/>
      <c r="AC8" s="106"/>
      <c r="AD8" s="106"/>
    </row>
    <row r="9" spans="1:31" ht="16.149999999999999" customHeight="1">
      <c r="A9" s="124">
        <v>2</v>
      </c>
      <c r="B9" s="49" t="s">
        <v>18</v>
      </c>
      <c r="C9" s="390" t="s">
        <v>1496</v>
      </c>
      <c r="D9" s="391"/>
      <c r="E9" s="391"/>
      <c r="F9" s="391"/>
      <c r="G9" s="392"/>
      <c r="O9" s="47"/>
      <c r="Q9" s="223" t="s">
        <v>458</v>
      </c>
      <c r="AC9" s="106"/>
      <c r="AD9" s="106"/>
    </row>
    <row r="10" spans="1:31" ht="10.9" customHeight="1">
      <c r="Q10" s="223"/>
      <c r="AC10" s="106"/>
      <c r="AD10" s="106"/>
    </row>
    <row r="11" spans="1:31" ht="7.5" customHeight="1">
      <c r="C11" s="109"/>
      <c r="E11" s="110"/>
      <c r="H11" s="109"/>
      <c r="I11" s="109"/>
      <c r="K11" s="110"/>
      <c r="Q11" s="223"/>
      <c r="AC11" s="106"/>
      <c r="AD11" s="106"/>
    </row>
    <row r="12" spans="1:31" ht="13.5" hidden="1" customHeight="1">
      <c r="A12" s="223"/>
      <c r="B12" s="223"/>
      <c r="C12" s="226" t="s">
        <v>453</v>
      </c>
      <c r="D12" s="226"/>
      <c r="E12" s="238" t="s">
        <v>454</v>
      </c>
      <c r="F12" s="223"/>
      <c r="G12" s="223"/>
      <c r="H12" s="228"/>
      <c r="I12" s="228"/>
      <c r="J12" s="223"/>
      <c r="K12" s="229"/>
      <c r="L12" s="223"/>
      <c r="M12" s="223"/>
      <c r="N12" s="223"/>
      <c r="O12" s="223"/>
      <c r="P12" s="223"/>
      <c r="Q12" s="223"/>
      <c r="AC12" s="106"/>
      <c r="AD12" s="106"/>
    </row>
    <row r="13" spans="1:31" ht="13">
      <c r="B13" s="111" t="s">
        <v>118</v>
      </c>
      <c r="C13" s="112"/>
      <c r="D13" s="112"/>
      <c r="E13" s="112"/>
      <c r="H13" s="109"/>
      <c r="I13" s="109"/>
      <c r="O13" s="47"/>
      <c r="Q13" s="223"/>
      <c r="AC13" s="106"/>
      <c r="AD13" s="106"/>
    </row>
    <row r="14" spans="1:31" ht="13">
      <c r="B14" s="113"/>
      <c r="C14" s="105" t="s">
        <v>32</v>
      </c>
      <c r="E14" s="105" t="s">
        <v>32</v>
      </c>
      <c r="H14" s="109"/>
      <c r="I14" s="109"/>
      <c r="Q14" s="223"/>
      <c r="AC14" s="106"/>
      <c r="AD14" s="106"/>
    </row>
    <row r="15" spans="1:31" ht="13.5" thickBot="1">
      <c r="C15" s="114" t="s">
        <v>33</v>
      </c>
      <c r="E15" s="114" t="s">
        <v>34</v>
      </c>
      <c r="H15" s="109"/>
      <c r="I15" s="109"/>
      <c r="Q15" s="223"/>
      <c r="AC15" s="106"/>
      <c r="AD15" s="106"/>
    </row>
    <row r="16" spans="1:31">
      <c r="A16" s="124">
        <v>3</v>
      </c>
      <c r="B16" s="115" t="s">
        <v>111</v>
      </c>
      <c r="C16" s="255">
        <f>IF(VLOOKUP(HOSPITALNAME,DATATABLE,6,FALSE)=0,"",VLOOKUP(HOSPITALNAME,DATATABLE,6,FALSE))</f>
        <v>44378</v>
      </c>
      <c r="E16" s="255">
        <f>IF(VLOOKUP(HOSPITALNAME,DATATABLE,7,FALSE)=0,"",VLOOKUP(HOSPITALNAME,DATATABLE,7,FALSE))</f>
        <v>44742</v>
      </c>
      <c r="G16" s="394" t="str">
        <f>IF(ISNUMBER(FYE_1),"Must also complete a separate survey file for each cost report period listed - SEE DSH SURVEY PART II FILES", "")</f>
        <v>Must also complete a separate survey file for each cost report period listed - SEE DSH SURVEY PART II FILES</v>
      </c>
      <c r="H16" s="395"/>
      <c r="I16" s="395"/>
      <c r="J16" s="395"/>
      <c r="K16" s="395"/>
      <c r="L16" s="395"/>
      <c r="M16" s="395"/>
      <c r="N16" s="395"/>
      <c r="Q16" s="223" t="s">
        <v>459</v>
      </c>
      <c r="AC16" s="106"/>
      <c r="AD16" s="106"/>
    </row>
    <row r="17" spans="1:30">
      <c r="A17" s="124">
        <v>4</v>
      </c>
      <c r="B17" s="115" t="s">
        <v>112</v>
      </c>
      <c r="C17" s="255" t="str">
        <f>IF(VLOOKUP(HOSPITALNAME,DATATABLE,8,FALSE)=0,"",VLOOKUP(HOSPITALNAME,DATATABLE,8,FALSE))</f>
        <v/>
      </c>
      <c r="E17" s="255" t="str">
        <f>IF(VLOOKUP(HOSPITALNAME,DATATABLE,9,FALSE)=0,"",VLOOKUP(HOSPITALNAME,DATATABLE,9,FALSE))</f>
        <v/>
      </c>
      <c r="G17" s="394" t="str">
        <f>IF(ISNUMBER(FYE_2),"Must also complete a separate survey file for each cost report period listed - SEE DSH SURVEY PART II FILES", "")</f>
        <v/>
      </c>
      <c r="H17" s="395"/>
      <c r="I17" s="395"/>
      <c r="J17" s="395"/>
      <c r="K17" s="395"/>
      <c r="L17" s="395"/>
      <c r="M17" s="395"/>
      <c r="N17" s="395"/>
      <c r="Q17" s="223" t="s">
        <v>460</v>
      </c>
      <c r="AC17" s="106"/>
      <c r="AD17" s="106"/>
    </row>
    <row r="18" spans="1:30">
      <c r="A18" s="124">
        <v>5</v>
      </c>
      <c r="B18" s="115" t="s">
        <v>113</v>
      </c>
      <c r="C18" s="255" t="str">
        <f>IF(VLOOKUP(HOSPITALNAME,DATATABLE,10,FALSE)=0,"",VLOOKUP(HOSPITALNAME,DATATABLE,10,FALSE))</f>
        <v/>
      </c>
      <c r="E18" s="255" t="str">
        <f>IF(VLOOKUP(HOSPITALNAME,DATATABLE,11,FALSE)=0,"",VLOOKUP(HOSPITALNAME,DATATABLE,11,FALSE))</f>
        <v/>
      </c>
      <c r="G18" s="394" t="str">
        <f>IF(ISNUMBER(FYE_3),"Must also complete a separate survey file for each cost report period listed - SEE DSH SURVEY PART II FILES", "")</f>
        <v/>
      </c>
      <c r="H18" s="395"/>
      <c r="I18" s="395"/>
      <c r="J18" s="395"/>
      <c r="K18" s="395"/>
      <c r="L18" s="395"/>
      <c r="M18" s="395"/>
      <c r="N18" s="395"/>
      <c r="Q18" s="223" t="s">
        <v>461</v>
      </c>
      <c r="AC18" s="106"/>
      <c r="AD18" s="106"/>
    </row>
    <row r="19" spans="1:30" ht="6.75" customHeight="1">
      <c r="A19" s="107"/>
      <c r="B19" s="115"/>
      <c r="C19" s="50"/>
      <c r="E19" s="50"/>
      <c r="H19" s="109"/>
      <c r="I19" s="109"/>
      <c r="Q19" s="223"/>
      <c r="AC19" s="106"/>
      <c r="AD19" s="106"/>
    </row>
    <row r="20" spans="1:30" ht="6.75" customHeight="1">
      <c r="A20" s="107"/>
      <c r="B20" s="115"/>
      <c r="C20" s="50"/>
      <c r="E20" s="50"/>
      <c r="H20" s="109"/>
      <c r="I20" s="109"/>
      <c r="Q20" s="223"/>
      <c r="AC20" s="106"/>
      <c r="AD20" s="106"/>
    </row>
    <row r="21" spans="1:30" ht="13.5" hidden="1" customHeight="1">
      <c r="A21" s="230"/>
      <c r="B21" s="223"/>
      <c r="C21" s="223"/>
      <c r="D21" s="223"/>
      <c r="E21" s="223" t="s">
        <v>455</v>
      </c>
      <c r="F21" s="223"/>
      <c r="G21" s="223"/>
      <c r="H21" s="228"/>
      <c r="I21" s="228"/>
      <c r="J21" s="223"/>
      <c r="K21" s="223"/>
      <c r="L21" s="223"/>
      <c r="M21" s="223"/>
      <c r="N21" s="223"/>
      <c r="O21" s="223"/>
      <c r="P21" s="223"/>
      <c r="Q21" s="223"/>
      <c r="AC21" s="106"/>
      <c r="AD21" s="106"/>
    </row>
    <row r="22" spans="1:30" ht="28.5" customHeight="1">
      <c r="B22" s="109"/>
      <c r="C22" s="231" t="s">
        <v>15</v>
      </c>
      <c r="D22" s="231"/>
      <c r="E22" s="231"/>
      <c r="F22" s="117"/>
      <c r="M22" s="219"/>
      <c r="O22" s="47"/>
      <c r="Q22" s="223"/>
      <c r="AC22" s="106"/>
      <c r="AD22" s="106"/>
    </row>
    <row r="23" spans="1:30" ht="18" customHeight="1">
      <c r="A23" s="124">
        <v>6</v>
      </c>
      <c r="B23" s="108" t="s">
        <v>0</v>
      </c>
      <c r="C23" s="118"/>
      <c r="D23" s="119"/>
      <c r="E23" s="256" t="str">
        <f>VLOOKUP(HOSPITALNAME,DATATABLE,2,FALSE)</f>
        <v>000000723A</v>
      </c>
      <c r="F23" s="120"/>
      <c r="Q23" s="223" t="s">
        <v>462</v>
      </c>
      <c r="AC23" s="106"/>
      <c r="AD23" s="106"/>
    </row>
    <row r="24" spans="1:30" ht="18" customHeight="1">
      <c r="A24" s="124">
        <v>7</v>
      </c>
      <c r="B24" s="108" t="s">
        <v>2</v>
      </c>
      <c r="C24" s="118"/>
      <c r="D24" s="119"/>
      <c r="E24" s="256">
        <f>VLOOKUP(HOSPITALNAME,DATATABLE,3,FALSE)</f>
        <v>0</v>
      </c>
      <c r="F24" s="120"/>
      <c r="Q24" s="223" t="s">
        <v>463</v>
      </c>
      <c r="AC24" s="106"/>
      <c r="AD24" s="106"/>
    </row>
    <row r="25" spans="1:30" ht="18" customHeight="1">
      <c r="A25" s="124">
        <v>8</v>
      </c>
      <c r="B25" s="108" t="s">
        <v>3</v>
      </c>
      <c r="C25" s="118"/>
      <c r="D25" s="119"/>
      <c r="E25" s="256">
        <f>VLOOKUP(HOSPITALNAME,DATATABLE,4,FALSE)</f>
        <v>0</v>
      </c>
      <c r="F25" s="120"/>
      <c r="Q25" s="223" t="s">
        <v>464</v>
      </c>
      <c r="AC25" s="106"/>
      <c r="AD25" s="106"/>
    </row>
    <row r="26" spans="1:30" ht="16.899999999999999" customHeight="1">
      <c r="A26" s="124">
        <v>9</v>
      </c>
      <c r="B26" s="47" t="s">
        <v>1</v>
      </c>
      <c r="C26" s="118"/>
      <c r="D26" s="119"/>
      <c r="E26" s="256">
        <f>VLOOKUP(HOSPITALNAME,DATATABLE,5,FALSE)</f>
        <v>110034</v>
      </c>
      <c r="F26" s="120"/>
      <c r="Q26" s="223" t="s">
        <v>465</v>
      </c>
      <c r="AC26" s="106"/>
      <c r="AD26" s="106"/>
    </row>
    <row r="27" spans="1:30" ht="16.899999999999999" hidden="1" customHeight="1">
      <c r="A27" s="124">
        <v>10</v>
      </c>
      <c r="B27" s="47" t="s">
        <v>235</v>
      </c>
      <c r="C27" s="182"/>
      <c r="D27" s="183"/>
      <c r="E27" s="257">
        <f>VLOOKUP(HOSPITALNAME,DATATABLE,13,FALSE)</f>
        <v>0</v>
      </c>
      <c r="F27" s="120"/>
      <c r="G27" s="88" t="s">
        <v>237</v>
      </c>
      <c r="Q27" s="223" t="s">
        <v>466</v>
      </c>
      <c r="AC27" s="106"/>
      <c r="AD27" s="106"/>
    </row>
    <row r="28" spans="1:30" ht="16.899999999999999" hidden="1" customHeight="1">
      <c r="A28" s="124">
        <v>11</v>
      </c>
      <c r="B28" s="47" t="s">
        <v>236</v>
      </c>
      <c r="C28" s="177"/>
      <c r="D28" s="178"/>
      <c r="E28" s="258">
        <f>VLOOKUP(HOSPITALNAME,DATATABLE,12,FALSE)</f>
        <v>0</v>
      </c>
      <c r="F28" s="120"/>
      <c r="G28" s="88" t="s">
        <v>237</v>
      </c>
      <c r="Q28" s="223" t="s">
        <v>467</v>
      </c>
      <c r="AC28" s="106"/>
      <c r="AD28" s="106"/>
    </row>
    <row r="29" spans="1:30" customFormat="1" ht="13">
      <c r="Q29" s="220"/>
    </row>
    <row r="30" spans="1:30" customFormat="1" ht="13">
      <c r="Q30" s="220"/>
    </row>
    <row r="31" spans="1:30" customFormat="1" ht="13" hidden="1">
      <c r="A31" s="220"/>
      <c r="B31" s="220"/>
      <c r="C31" s="220"/>
      <c r="D31" s="220"/>
      <c r="E31" s="220"/>
      <c r="F31" s="220"/>
      <c r="G31" s="220"/>
      <c r="H31" s="220"/>
      <c r="I31" s="220" t="s">
        <v>416</v>
      </c>
      <c r="J31" s="220"/>
      <c r="K31" s="220"/>
      <c r="L31" s="220"/>
      <c r="M31" s="220"/>
      <c r="N31" s="220"/>
      <c r="O31" s="220"/>
      <c r="P31" s="220"/>
      <c r="Q31" s="220"/>
    </row>
    <row r="32" spans="1:30" s="5" customFormat="1" ht="15.5">
      <c r="A32" s="100" t="s">
        <v>1308</v>
      </c>
      <c r="B32" s="102"/>
      <c r="C32" s="102"/>
      <c r="D32" s="41"/>
      <c r="E32" s="41"/>
      <c r="F32" s="41"/>
      <c r="G32" s="102"/>
      <c r="H32" s="102"/>
      <c r="I32" s="102"/>
      <c r="J32" s="41"/>
      <c r="K32" s="41"/>
      <c r="L32" s="41"/>
      <c r="M32" s="41"/>
      <c r="N32" s="41"/>
      <c r="O32" s="103"/>
      <c r="Q32" s="224"/>
      <c r="AC32" s="104"/>
      <c r="AD32" s="104"/>
    </row>
    <row r="33" spans="1:30" ht="13.5" customHeight="1">
      <c r="A33" s="49"/>
      <c r="B33" s="94" t="s">
        <v>139</v>
      </c>
      <c r="C33" s="49"/>
      <c r="D33" s="49"/>
      <c r="E33" s="49"/>
      <c r="F33" s="49"/>
      <c r="G33" s="49"/>
      <c r="H33" s="49"/>
      <c r="I33" s="49"/>
      <c r="J33" s="49"/>
      <c r="K33" s="49"/>
      <c r="Q33" s="223"/>
      <c r="AC33" s="106"/>
      <c r="AD33" s="106"/>
    </row>
    <row r="34" spans="1:30" ht="43.5" customHeight="1" thickBot="1">
      <c r="A34" s="107"/>
      <c r="B34" s="122" t="str">
        <f>IF(State&lt;&gt;"Louisiana","During the DSH Examination Year:","During the DSH Year:")</f>
        <v>During the DSH Examination Year:</v>
      </c>
      <c r="C34" s="108"/>
      <c r="E34" s="110"/>
      <c r="F34" s="120"/>
      <c r="H34" s="25"/>
      <c r="I34" s="123" t="str">
        <f>IF(State&lt;&gt;"Louisiana",CONCATENATE("DSH Examination Year (",TEXT(DSH_Year_Begin,"mm/dd/yy")," - ",TEXT(DSH_Year_End,"mm/dd/yy"),")"),CONCATENATE("DSH Year (",TEXT(DSH_Year_Begin,"mm/dd/yy")," - ",TEXT(DSH_Year_End,"mm/dd/yy"),")"))</f>
        <v>DSH Examination Year (07/01/21 - 06/30/22)</v>
      </c>
      <c r="J34" s="120"/>
      <c r="K34" s="49"/>
      <c r="Q34" s="223"/>
      <c r="AC34" s="106"/>
      <c r="AD34" s="106"/>
    </row>
    <row r="35" spans="1:30" ht="15" customHeight="1">
      <c r="A35" s="124">
        <v>1</v>
      </c>
      <c r="B35" s="108" t="s">
        <v>77</v>
      </c>
      <c r="C35" s="108"/>
      <c r="E35" s="110"/>
      <c r="F35" s="120"/>
      <c r="H35" s="25"/>
      <c r="I35" s="264" t="s">
        <v>215</v>
      </c>
      <c r="J35" s="120"/>
      <c r="K35" s="49"/>
      <c r="Q35" s="223" t="s">
        <v>468</v>
      </c>
      <c r="AC35" s="106"/>
      <c r="AD35" s="106"/>
    </row>
    <row r="36" spans="1:30" ht="15" customHeight="1">
      <c r="A36" s="107"/>
      <c r="B36" s="108" t="s">
        <v>78</v>
      </c>
      <c r="C36" s="108"/>
      <c r="E36" s="110"/>
      <c r="F36" s="120"/>
      <c r="J36" s="120"/>
      <c r="K36" s="49"/>
      <c r="Q36" s="223"/>
      <c r="AC36" s="106"/>
      <c r="AD36" s="106"/>
    </row>
    <row r="37" spans="1:30" ht="15" customHeight="1">
      <c r="A37" s="107"/>
      <c r="B37" s="108" t="s">
        <v>26</v>
      </c>
      <c r="C37" s="108"/>
      <c r="E37" s="110"/>
      <c r="F37" s="120"/>
      <c r="H37" s="25"/>
      <c r="I37" s="25"/>
      <c r="J37" s="120"/>
      <c r="K37" s="49"/>
      <c r="Q37" s="223"/>
      <c r="AC37" s="106"/>
      <c r="AD37" s="106"/>
    </row>
    <row r="38" spans="1:30" ht="15" customHeight="1">
      <c r="A38" s="107"/>
      <c r="B38" s="108" t="s">
        <v>156</v>
      </c>
      <c r="C38" s="108"/>
      <c r="E38" s="110"/>
      <c r="F38" s="120"/>
      <c r="J38" s="120"/>
      <c r="K38" s="49"/>
      <c r="Q38" s="223"/>
      <c r="AC38" s="106"/>
      <c r="AD38" s="106"/>
    </row>
    <row r="39" spans="1:30" ht="15" customHeight="1">
      <c r="A39" s="124">
        <v>2</v>
      </c>
      <c r="B39" s="108" t="s">
        <v>115</v>
      </c>
      <c r="C39" s="108"/>
      <c r="E39" s="110"/>
      <c r="F39" s="120"/>
      <c r="H39" s="25"/>
      <c r="I39" s="264" t="s">
        <v>192</v>
      </c>
      <c r="J39" s="120"/>
      <c r="K39" s="49"/>
      <c r="Q39" s="223" t="s">
        <v>469</v>
      </c>
      <c r="AC39" s="106"/>
      <c r="AD39" s="106"/>
    </row>
    <row r="40" spans="1:30" ht="15" customHeight="1">
      <c r="A40" s="107" t="s">
        <v>114</v>
      </c>
      <c r="B40" s="108" t="s">
        <v>138</v>
      </c>
      <c r="C40" s="108"/>
      <c r="E40" s="110"/>
      <c r="F40" s="120"/>
      <c r="J40" s="120"/>
      <c r="K40" s="49"/>
      <c r="Q40" s="223"/>
      <c r="AC40" s="106"/>
      <c r="AD40" s="106"/>
    </row>
    <row r="41" spans="1:30" ht="15" customHeight="1">
      <c r="A41" s="124">
        <v>3</v>
      </c>
      <c r="B41" s="108" t="s">
        <v>128</v>
      </c>
      <c r="C41" s="108"/>
      <c r="E41" s="110"/>
      <c r="F41" s="120"/>
      <c r="H41" s="25"/>
      <c r="I41" s="264" t="s">
        <v>192</v>
      </c>
      <c r="J41" s="120"/>
      <c r="K41" s="49"/>
      <c r="M41" s="219"/>
      <c r="Q41" s="223" t="s">
        <v>470</v>
      </c>
      <c r="AC41" s="106"/>
      <c r="AD41" s="106"/>
    </row>
    <row r="42" spans="1:30" ht="15" customHeight="1">
      <c r="A42" s="125"/>
      <c r="B42" s="108" t="s">
        <v>27</v>
      </c>
      <c r="C42" s="108"/>
      <c r="E42" s="110"/>
      <c r="F42" s="120"/>
      <c r="G42" s="25"/>
      <c r="H42" s="25"/>
      <c r="J42" s="120"/>
      <c r="K42" s="49"/>
      <c r="Q42" s="223"/>
      <c r="AC42" s="106"/>
      <c r="AD42" s="106"/>
    </row>
    <row r="43" spans="1:30" ht="15" customHeight="1">
      <c r="A43" s="125"/>
      <c r="B43" s="108" t="s">
        <v>137</v>
      </c>
      <c r="C43" s="108"/>
      <c r="E43" s="110"/>
      <c r="F43" s="120"/>
      <c r="J43" s="120"/>
      <c r="K43" s="25"/>
      <c r="Q43" s="223"/>
      <c r="AC43" s="106"/>
      <c r="AD43" s="106"/>
    </row>
    <row r="44" spans="1:30" ht="15" customHeight="1">
      <c r="A44" s="125"/>
      <c r="B44" s="108"/>
      <c r="C44" s="108"/>
      <c r="E44" s="110"/>
      <c r="F44" s="120"/>
      <c r="J44" s="120"/>
      <c r="K44" s="25"/>
      <c r="Q44" s="223"/>
      <c r="AC44" s="106"/>
      <c r="AD44" s="106"/>
    </row>
    <row r="45" spans="1:30" ht="15" customHeight="1">
      <c r="A45" s="107" t="s">
        <v>193</v>
      </c>
      <c r="B45" s="108" t="s">
        <v>180</v>
      </c>
      <c r="C45" s="108"/>
      <c r="E45" s="110"/>
      <c r="F45" s="120"/>
      <c r="I45" s="264" t="s">
        <v>215</v>
      </c>
      <c r="J45" s="120"/>
      <c r="K45" s="25"/>
      <c r="Q45" s="223" t="s">
        <v>471</v>
      </c>
      <c r="AC45" s="106"/>
      <c r="AD45" s="106"/>
    </row>
    <row r="46" spans="1:30" ht="15" customHeight="1">
      <c r="A46" s="107"/>
      <c r="B46" s="108"/>
      <c r="C46" s="108"/>
      <c r="E46" s="110"/>
      <c r="F46" s="120"/>
      <c r="K46" s="25"/>
      <c r="Q46" s="223"/>
      <c r="AC46" s="106"/>
      <c r="AD46" s="106"/>
    </row>
    <row r="47" spans="1:30" ht="15" customHeight="1">
      <c r="A47" s="107" t="s">
        <v>197</v>
      </c>
      <c r="B47" s="108" t="s">
        <v>181</v>
      </c>
      <c r="C47" s="108"/>
      <c r="E47" s="110"/>
      <c r="F47" s="120"/>
      <c r="I47" s="265">
        <v>24272</v>
      </c>
      <c r="J47" s="120"/>
      <c r="K47" s="25"/>
      <c r="Q47" s="223" t="s">
        <v>472</v>
      </c>
      <c r="AC47" s="106"/>
      <c r="AD47" s="106"/>
    </row>
    <row r="48" spans="1:30" ht="15" customHeight="1">
      <c r="A48" s="125"/>
      <c r="B48" s="108"/>
      <c r="C48" s="108"/>
      <c r="E48" s="110"/>
      <c r="F48" s="120"/>
      <c r="J48" s="120"/>
      <c r="K48" s="25"/>
      <c r="Q48" s="223"/>
      <c r="AC48" s="106"/>
      <c r="AD48" s="106"/>
    </row>
    <row r="49" spans="1:30" ht="13.5" hidden="1" customHeight="1">
      <c r="A49" s="49"/>
      <c r="B49" s="94" t="s">
        <v>175</v>
      </c>
      <c r="C49" s="49"/>
      <c r="D49" s="49"/>
      <c r="E49" s="49"/>
      <c r="F49" s="49"/>
      <c r="G49" s="49"/>
      <c r="H49" s="49"/>
      <c r="I49" s="49"/>
      <c r="J49" s="49"/>
      <c r="K49" s="49"/>
      <c r="Q49" s="223"/>
      <c r="AC49" s="106"/>
      <c r="AD49" s="106"/>
    </row>
    <row r="50" spans="1:30" ht="43.5" hidden="1" customHeight="1" thickBot="1">
      <c r="A50" s="107"/>
      <c r="B50" s="122" t="s">
        <v>176</v>
      </c>
      <c r="C50" s="108"/>
      <c r="E50" s="110"/>
      <c r="F50" s="120"/>
      <c r="H50" s="25"/>
      <c r="I50" s="123" t="str">
        <f>CONCATENATE("DSH Payment Year (", TEXT(DSH_Payment_Year_Begin,"mm/dd/yy"), " - ", TEXT(DSH_Payment_Year_End,"mm/dd/yy"),")")</f>
        <v>DSH Payment Year (07/01/20 - 06/30/21)</v>
      </c>
      <c r="J50" s="120"/>
      <c r="K50" s="49"/>
      <c r="Q50" s="223"/>
      <c r="AC50" s="106"/>
      <c r="AD50" s="106"/>
    </row>
    <row r="51" spans="1:30" ht="15" hidden="1" customHeight="1">
      <c r="A51" s="124">
        <v>4</v>
      </c>
      <c r="B51" s="108" t="s">
        <v>191</v>
      </c>
      <c r="C51" s="108"/>
      <c r="E51" s="110"/>
      <c r="F51" s="120"/>
      <c r="H51" s="25"/>
      <c r="I51" s="264"/>
      <c r="J51" s="120"/>
      <c r="K51" s="49"/>
      <c r="Q51" s="223" t="s">
        <v>473</v>
      </c>
      <c r="AC51" s="106"/>
      <c r="AD51" s="106"/>
    </row>
    <row r="52" spans="1:30" ht="15" hidden="1" customHeight="1">
      <c r="A52" s="107"/>
      <c r="B52" s="108" t="s">
        <v>78</v>
      </c>
      <c r="C52" s="108"/>
      <c r="E52" s="110"/>
      <c r="F52" s="120"/>
      <c r="J52" s="120"/>
      <c r="K52" s="49"/>
      <c r="Q52" s="223"/>
      <c r="AC52" s="106"/>
      <c r="AD52" s="106"/>
    </row>
    <row r="53" spans="1:30" ht="15" hidden="1" customHeight="1">
      <c r="A53" s="107"/>
      <c r="B53" s="108" t="s">
        <v>26</v>
      </c>
      <c r="C53" s="108"/>
      <c r="E53" s="110"/>
      <c r="F53" s="120"/>
      <c r="H53" s="25"/>
      <c r="I53" s="25"/>
      <c r="J53" s="120"/>
      <c r="K53" s="49"/>
      <c r="Q53" s="223"/>
      <c r="AC53" s="106"/>
      <c r="AD53" s="106"/>
    </row>
    <row r="54" spans="1:30" ht="15" hidden="1" customHeight="1">
      <c r="A54" s="107"/>
      <c r="B54" s="108" t="s">
        <v>156</v>
      </c>
      <c r="C54" s="108"/>
      <c r="E54" s="110"/>
      <c r="F54" s="120"/>
      <c r="J54" s="120"/>
      <c r="K54" s="49"/>
      <c r="Q54" s="223"/>
      <c r="AC54" s="106"/>
      <c r="AD54" s="106"/>
    </row>
    <row r="55" spans="1:30" ht="7.5" hidden="1" customHeight="1">
      <c r="A55" s="107"/>
      <c r="B55" s="108"/>
      <c r="C55" s="108"/>
      <c r="E55" s="110"/>
      <c r="F55" s="120"/>
      <c r="J55" s="120"/>
      <c r="K55" s="49"/>
      <c r="Q55" s="223"/>
      <c r="AC55" s="106"/>
      <c r="AD55" s="106"/>
    </row>
    <row r="56" spans="1:30" ht="14.25" hidden="1" customHeight="1">
      <c r="A56" s="225"/>
      <c r="B56" s="226" t="s">
        <v>450</v>
      </c>
      <c r="C56" s="226"/>
      <c r="D56" s="223"/>
      <c r="E56" s="229"/>
      <c r="F56" s="232"/>
      <c r="G56" s="223" t="s">
        <v>451</v>
      </c>
      <c r="H56" s="223"/>
      <c r="I56" s="223" t="s">
        <v>452</v>
      </c>
      <c r="J56" s="232"/>
      <c r="K56" s="223"/>
      <c r="L56" s="223"/>
      <c r="M56" s="223"/>
      <c r="N56" s="223"/>
      <c r="O56" s="223"/>
      <c r="P56" s="223"/>
      <c r="Q56" s="223"/>
      <c r="AC56" s="106"/>
      <c r="AD56" s="106"/>
    </row>
    <row r="57" spans="1:30" ht="15" hidden="1" customHeight="1">
      <c r="A57" s="107"/>
      <c r="B57" s="108" t="s">
        <v>178</v>
      </c>
      <c r="C57" s="108"/>
      <c r="D57" s="108"/>
      <c r="E57" s="108"/>
      <c r="F57" s="120"/>
      <c r="J57" s="120"/>
      <c r="O57" s="47"/>
      <c r="Q57" s="223"/>
      <c r="AC57" s="106"/>
      <c r="AD57" s="106"/>
    </row>
    <row r="58" spans="1:30" ht="15" hidden="1" customHeight="1">
      <c r="A58" s="107"/>
      <c r="B58" s="396"/>
      <c r="C58" s="397"/>
      <c r="D58" s="397"/>
      <c r="E58" s="398"/>
      <c r="F58" s="120"/>
      <c r="J58" s="120"/>
      <c r="K58" s="49"/>
      <c r="Q58" s="223" t="s">
        <v>474</v>
      </c>
      <c r="AC58" s="106"/>
      <c r="AD58" s="106"/>
    </row>
    <row r="59" spans="1:30" ht="15" hidden="1" customHeight="1">
      <c r="A59" s="107"/>
      <c r="B59" s="396"/>
      <c r="C59" s="397"/>
      <c r="D59" s="397"/>
      <c r="E59" s="398"/>
      <c r="F59" s="120"/>
      <c r="J59" s="120"/>
      <c r="K59" s="49"/>
      <c r="Q59" s="223" t="s">
        <v>475</v>
      </c>
      <c r="AC59" s="106"/>
      <c r="AD59" s="106"/>
    </row>
    <row r="60" spans="1:30" ht="8.25" hidden="1" customHeight="1">
      <c r="A60" s="107"/>
      <c r="B60" s="108"/>
      <c r="C60" s="108"/>
      <c r="E60" s="110"/>
      <c r="F60" s="120"/>
      <c r="J60" s="120"/>
      <c r="K60" s="49"/>
      <c r="Q60" s="223"/>
      <c r="AC60" s="106"/>
      <c r="AD60" s="106"/>
    </row>
    <row r="61" spans="1:30" ht="15" hidden="1" customHeight="1">
      <c r="A61" s="124">
        <v>5</v>
      </c>
      <c r="B61" s="108" t="s">
        <v>177</v>
      </c>
      <c r="C61" s="108"/>
      <c r="E61" s="110"/>
      <c r="F61" s="120"/>
      <c r="H61" s="25"/>
      <c r="I61" s="264"/>
      <c r="J61" s="120"/>
      <c r="K61" s="49"/>
      <c r="Q61" s="223" t="s">
        <v>476</v>
      </c>
      <c r="AC61" s="106"/>
      <c r="AD61" s="106"/>
    </row>
    <row r="62" spans="1:30" ht="15" hidden="1" customHeight="1">
      <c r="A62" s="107" t="s">
        <v>114</v>
      </c>
      <c r="B62" s="108" t="s">
        <v>138</v>
      </c>
      <c r="C62" s="108"/>
      <c r="E62" s="110"/>
      <c r="F62" s="120"/>
      <c r="J62" s="120"/>
      <c r="K62" s="49"/>
      <c r="Q62" s="223"/>
      <c r="AC62" s="106"/>
      <c r="AD62" s="106"/>
    </row>
    <row r="63" spans="1:30" ht="15" hidden="1" customHeight="1">
      <c r="A63" s="124">
        <v>6</v>
      </c>
      <c r="B63" s="108" t="s">
        <v>179</v>
      </c>
      <c r="C63" s="108"/>
      <c r="E63" s="110"/>
      <c r="F63" s="120"/>
      <c r="H63" s="25"/>
      <c r="I63" s="264"/>
      <c r="J63" s="120"/>
      <c r="K63" s="49"/>
      <c r="Q63" s="223" t="s">
        <v>477</v>
      </c>
      <c r="AC63" s="106"/>
      <c r="AD63" s="106"/>
    </row>
    <row r="64" spans="1:30" ht="15.75" hidden="1" customHeight="1">
      <c r="A64" s="125"/>
      <c r="B64" s="108" t="s">
        <v>27</v>
      </c>
      <c r="C64" s="108"/>
      <c r="E64" s="110"/>
      <c r="F64" s="120"/>
      <c r="G64" s="25"/>
      <c r="H64" s="25"/>
      <c r="J64" s="120"/>
      <c r="K64" s="25"/>
      <c r="Q64" s="223"/>
      <c r="AC64" s="106"/>
      <c r="AD64" s="106"/>
    </row>
    <row r="65" spans="1:30" ht="15" hidden="1" customHeight="1">
      <c r="A65" s="125"/>
      <c r="B65" s="108" t="s">
        <v>137</v>
      </c>
      <c r="C65" s="108"/>
      <c r="E65" s="110"/>
      <c r="F65" s="120"/>
      <c r="J65" s="120"/>
      <c r="K65" s="25"/>
      <c r="Q65" s="223"/>
      <c r="AC65" s="106"/>
      <c r="AD65" s="106"/>
    </row>
    <row r="66" spans="1:30" ht="7.5" hidden="1" customHeight="1">
      <c r="A66" s="107"/>
      <c r="B66" s="108"/>
      <c r="C66" s="108"/>
      <c r="E66" s="110"/>
      <c r="F66" s="120"/>
      <c r="J66" s="120"/>
      <c r="K66" s="49"/>
      <c r="Q66" s="223"/>
      <c r="AC66" s="106"/>
      <c r="AD66" s="106"/>
    </row>
    <row r="67" spans="1:30" ht="15" hidden="1" customHeight="1">
      <c r="A67" s="107"/>
      <c r="B67" s="108" t="s">
        <v>178</v>
      </c>
      <c r="C67" s="108"/>
      <c r="D67" s="108"/>
      <c r="E67" s="108"/>
      <c r="F67" s="120"/>
      <c r="G67" s="47" t="s">
        <v>349</v>
      </c>
      <c r="I67" s="47" t="s">
        <v>350</v>
      </c>
      <c r="J67" s="120"/>
      <c r="K67" s="49"/>
      <c r="Q67" s="223"/>
      <c r="AC67" s="106"/>
      <c r="AD67" s="106"/>
    </row>
    <row r="68" spans="1:30" ht="15" hidden="1" customHeight="1">
      <c r="A68" s="107"/>
      <c r="B68" s="399"/>
      <c r="C68" s="400"/>
      <c r="D68" s="400"/>
      <c r="E68" s="401"/>
      <c r="F68" s="120"/>
      <c r="G68" s="263"/>
      <c r="I68" s="263"/>
      <c r="J68" s="120"/>
      <c r="K68" s="49"/>
      <c r="Q68" s="223" t="s">
        <v>478</v>
      </c>
      <c r="AC68" s="106"/>
      <c r="AD68" s="106"/>
    </row>
    <row r="69" spans="1:30" ht="15" hidden="1" customHeight="1">
      <c r="A69" s="107"/>
      <c r="B69" s="399"/>
      <c r="C69" s="400"/>
      <c r="D69" s="400"/>
      <c r="E69" s="401"/>
      <c r="F69" s="120"/>
      <c r="G69" s="263"/>
      <c r="I69" s="263"/>
      <c r="J69" s="120"/>
      <c r="K69" s="49"/>
      <c r="Q69" s="223" t="s">
        <v>479</v>
      </c>
      <c r="AC69" s="106"/>
      <c r="AD69" s="106"/>
    </row>
    <row r="70" spans="1:30" ht="8.25" hidden="1" customHeight="1">
      <c r="A70" s="107"/>
      <c r="B70" s="108"/>
      <c r="C70" s="108"/>
      <c r="E70" s="110"/>
      <c r="F70" s="120"/>
      <c r="J70" s="120"/>
      <c r="K70" s="49"/>
      <c r="Q70" s="223"/>
      <c r="AC70" s="106"/>
      <c r="AD70" s="106"/>
    </row>
    <row r="71" spans="1:30" ht="15" hidden="1" customHeight="1">
      <c r="A71" s="124">
        <v>7</v>
      </c>
      <c r="B71" s="108" t="s">
        <v>1306</v>
      </c>
      <c r="C71" s="108"/>
      <c r="E71" s="110"/>
      <c r="F71" s="120"/>
      <c r="I71" s="264"/>
      <c r="J71" s="120"/>
      <c r="K71" s="25"/>
      <c r="Q71" s="223"/>
      <c r="AC71" s="106"/>
      <c r="AD71" s="106"/>
    </row>
    <row r="72" spans="1:30" ht="15" hidden="1" customHeight="1">
      <c r="B72" s="108" t="s">
        <v>1307</v>
      </c>
      <c r="C72" s="48"/>
      <c r="E72" s="126"/>
      <c r="F72" s="126"/>
      <c r="G72" s="127"/>
      <c r="H72" s="127"/>
      <c r="I72" s="127"/>
      <c r="J72" s="126"/>
      <c r="K72" s="126"/>
      <c r="Q72" s="223"/>
    </row>
    <row r="73" spans="1:30" ht="15" hidden="1" customHeight="1">
      <c r="B73" s="108"/>
      <c r="C73" s="48"/>
      <c r="E73" s="126"/>
      <c r="F73" s="126"/>
      <c r="G73" s="127"/>
      <c r="H73" s="127"/>
      <c r="I73" s="127"/>
      <c r="J73" s="126"/>
      <c r="K73" s="126"/>
      <c r="Q73" s="223"/>
    </row>
    <row r="74" spans="1:30" hidden="1">
      <c r="A74" s="223"/>
      <c r="B74" s="233"/>
      <c r="C74" s="233"/>
      <c r="D74" s="223"/>
      <c r="E74" s="234"/>
      <c r="F74" s="234"/>
      <c r="G74" s="235"/>
      <c r="H74" s="235"/>
      <c r="I74" s="235" t="s">
        <v>416</v>
      </c>
      <c r="J74" s="234"/>
      <c r="K74" s="234"/>
      <c r="L74" s="223"/>
      <c r="M74" s="223"/>
      <c r="N74" s="223"/>
      <c r="O74" s="223"/>
      <c r="P74" s="223"/>
      <c r="Q74" s="223"/>
    </row>
    <row r="75" spans="1:30" s="5" customFormat="1" ht="15.5">
      <c r="A75" s="100" t="s">
        <v>131</v>
      </c>
      <c r="B75" s="41"/>
      <c r="C75" s="41"/>
      <c r="D75" s="41"/>
      <c r="E75" s="128"/>
      <c r="F75" s="128"/>
      <c r="G75" s="128"/>
      <c r="H75" s="128"/>
      <c r="I75" s="128"/>
      <c r="J75" s="128"/>
      <c r="K75" s="128"/>
      <c r="L75" s="128"/>
      <c r="M75" s="128"/>
      <c r="N75" s="128"/>
      <c r="O75" s="129"/>
      <c r="Q75" s="224"/>
    </row>
    <row r="76" spans="1:30" ht="7.9" customHeight="1">
      <c r="A76" s="107"/>
      <c r="B76" s="393"/>
      <c r="C76" s="393"/>
      <c r="D76" s="393"/>
      <c r="E76" s="393"/>
      <c r="G76" s="130"/>
      <c r="H76" s="115"/>
      <c r="Q76" s="223"/>
    </row>
    <row r="77" spans="1:30" ht="16.149999999999999" customHeight="1">
      <c r="A77" s="124">
        <v>1</v>
      </c>
      <c r="B77" s="403" t="str">
        <f>CONCATENATE(IF(State="Missouri","Other Medicaid Payments for Hospital Services for DSH Year ","Medicaid Supplemental Payments for Hospital Services DSH Year "), TEXT(DSH_Year_Begin,"mm/dd/yyy"), " - ", TEXT(DSH_Year_End,"mm/dd/yyyy"))</f>
        <v>Medicaid Supplemental Payments for Hospital Services DSH Year 07/01/2021 - 06/30/2022</v>
      </c>
      <c r="C77" s="403"/>
      <c r="D77" s="403"/>
      <c r="E77" s="403"/>
      <c r="H77" s="115"/>
      <c r="I77" s="262">
        <v>20436343</v>
      </c>
      <c r="J77" s="115"/>
      <c r="K77" s="130"/>
      <c r="Q77" s="223" t="s">
        <v>480</v>
      </c>
    </row>
    <row r="78" spans="1:30" ht="16.149999999999999" customHeight="1">
      <c r="A78" s="124"/>
      <c r="B78" s="131" t="str">
        <f>IF(State="Missouri","Should include all non-claim specific payments paid based on the state fiscal year including Direct Medicaid, GME, UPL, Children's Outliers, etc. However, DSH payments should NOT be included.","(Should include UPL and non-claim specific payments paid based on the state fiscal year. However, DSH payments should NOT be included.)")</f>
        <v>(Should include UPL and non-claim specific payments paid based on the state fiscal year. However, DSH payments should NOT be included.)</v>
      </c>
      <c r="C78" s="108"/>
      <c r="M78" s="219"/>
      <c r="Q78" s="223"/>
    </row>
    <row r="79" spans="1:30" ht="16.149999999999999" customHeight="1">
      <c r="A79" s="124"/>
      <c r="B79" s="131"/>
      <c r="C79" s="108"/>
      <c r="Q79" s="223"/>
    </row>
    <row r="80" spans="1:30" ht="16.149999999999999" customHeight="1">
      <c r="A80" s="124">
        <v>2</v>
      </c>
      <c r="B80" s="403" t="str">
        <f>CONCATENATE(IF(State="Missouri","Other Medicaid Managed Care Payments for hospital services for DSH Year ","Medicaid Managed Care Supplemental Payments for hospital services for DSH Year "), TEXT(DSH_Year_Begin,"mm/dd/yyy"), " - ", TEXT(DSH_Year_End,"mm/dd/yyyy"))</f>
        <v>Medicaid Managed Care Supplemental Payments for hospital services for DSH Year 07/01/2021 - 06/30/2022</v>
      </c>
      <c r="C80" s="403"/>
      <c r="D80" s="403"/>
      <c r="E80" s="403"/>
      <c r="H80" s="115"/>
      <c r="I80" s="262">
        <v>0</v>
      </c>
      <c r="O80" s="47"/>
      <c r="Q80" s="223" t="s">
        <v>1180</v>
      </c>
    </row>
    <row r="81" spans="1:17" ht="30.65" customHeight="1">
      <c r="B81" s="404" t="s">
        <v>1176</v>
      </c>
      <c r="C81" s="404"/>
      <c r="D81" s="404"/>
      <c r="E81" s="404"/>
      <c r="F81" s="404"/>
      <c r="G81" s="404"/>
      <c r="H81" s="404"/>
      <c r="I81" s="404"/>
      <c r="O81" s="47"/>
      <c r="Q81" s="223"/>
    </row>
    <row r="82" spans="1:17" ht="16.149999999999999" customHeight="1">
      <c r="B82" s="404" t="s">
        <v>1177</v>
      </c>
      <c r="C82" s="404"/>
      <c r="D82" s="404"/>
      <c r="E82" s="404"/>
      <c r="F82" s="404"/>
      <c r="G82" s="404"/>
      <c r="H82" s="404"/>
      <c r="I82" s="404"/>
      <c r="O82" s="47"/>
      <c r="Q82" s="223"/>
    </row>
    <row r="83" spans="1:17" ht="16.149999999999999" customHeight="1">
      <c r="Q83" s="223"/>
    </row>
    <row r="84" spans="1:17" ht="16.149999999999999" customHeight="1">
      <c r="A84" s="124">
        <v>3</v>
      </c>
      <c r="B84" s="403" t="str">
        <f>CONCATENATE("Total Medicaid and Medicaid Managed Care Non-Claims Payments for Hospital Services",, TEXT(DSH_Year_Begin,"mm/dd/yyy"), " - ", TEXT(DSH_Year_End,"mm/dd/yyyy"))</f>
        <v>Total Medicaid and Medicaid Managed Care Non-Claims Payments for Hospital Services07/01/2021 - 06/30/2022</v>
      </c>
      <c r="C84" s="403"/>
      <c r="D84" s="403"/>
      <c r="E84" s="403"/>
      <c r="H84" s="115"/>
      <c r="I84" s="347">
        <f>I77+I80</f>
        <v>20436343</v>
      </c>
      <c r="O84" s="47"/>
      <c r="Q84" s="223" t="s">
        <v>1181</v>
      </c>
    </row>
    <row r="85" spans="1:17" ht="16.149999999999999" customHeight="1">
      <c r="Q85" s="223"/>
    </row>
    <row r="86" spans="1:17" s="5" customFormat="1" ht="20.25" customHeight="1">
      <c r="A86" s="100" t="s">
        <v>9</v>
      </c>
      <c r="B86" s="41"/>
      <c r="C86" s="41"/>
      <c r="D86" s="41"/>
      <c r="E86" s="128"/>
      <c r="F86" s="41"/>
      <c r="G86" s="41"/>
      <c r="H86" s="41"/>
      <c r="I86" s="41"/>
      <c r="J86" s="41"/>
      <c r="K86" s="41"/>
      <c r="L86" s="41"/>
      <c r="M86" s="41"/>
      <c r="N86" s="41"/>
      <c r="O86" s="103"/>
      <c r="Q86" s="224"/>
    </row>
    <row r="87" spans="1:17" ht="18.75" customHeight="1" thickBot="1">
      <c r="A87" s="132"/>
      <c r="B87" s="132"/>
      <c r="C87" s="132"/>
      <c r="I87" s="114" t="s">
        <v>107</v>
      </c>
      <c r="Q87" s="223"/>
    </row>
    <row r="88" spans="1:17" ht="16.899999999999999" customHeight="1">
      <c r="A88" s="124">
        <v>1</v>
      </c>
      <c r="B88" s="133" t="s">
        <v>35</v>
      </c>
      <c r="C88" s="133"/>
      <c r="G88" s="48"/>
      <c r="I88" s="261" t="s">
        <v>215</v>
      </c>
      <c r="Q88" s="223" t="s">
        <v>481</v>
      </c>
    </row>
    <row r="89" spans="1:17" ht="13">
      <c r="A89" s="132"/>
      <c r="B89" s="133" t="s">
        <v>64</v>
      </c>
      <c r="C89" s="133"/>
      <c r="G89" s="48"/>
      <c r="K89" s="48"/>
      <c r="M89" s="219"/>
      <c r="Q89" s="223"/>
    </row>
    <row r="90" spans="1:17" ht="13">
      <c r="B90" s="133" t="s">
        <v>36</v>
      </c>
      <c r="Q90" s="223"/>
    </row>
    <row r="91" spans="1:17" ht="13">
      <c r="B91" s="133" t="s">
        <v>65</v>
      </c>
      <c r="Q91" s="223"/>
    </row>
    <row r="92" spans="1:17" ht="13">
      <c r="B92" s="133"/>
      <c r="Q92" s="223"/>
    </row>
    <row r="93" spans="1:17" ht="13" hidden="1">
      <c r="A93" s="223"/>
      <c r="B93" s="236" t="s">
        <v>450</v>
      </c>
      <c r="C93" s="223"/>
      <c r="D93" s="223"/>
      <c r="E93" s="223"/>
      <c r="F93" s="223"/>
      <c r="G93" s="223"/>
      <c r="H93" s="223"/>
      <c r="I93" s="223"/>
      <c r="J93" s="223"/>
      <c r="K93" s="223"/>
      <c r="L93" s="223"/>
      <c r="M93" s="223"/>
      <c r="N93" s="223"/>
      <c r="O93" s="223"/>
      <c r="P93" s="223"/>
      <c r="Q93" s="223"/>
    </row>
    <row r="94" spans="1:17" ht="13">
      <c r="A94" s="88"/>
      <c r="B94" s="92" t="s">
        <v>108</v>
      </c>
      <c r="C94" s="88"/>
      <c r="D94" s="88"/>
      <c r="E94" s="88"/>
      <c r="F94" s="88"/>
      <c r="G94" s="88"/>
      <c r="H94" s="88"/>
      <c r="I94" s="88"/>
      <c r="J94" s="88"/>
      <c r="K94" s="88"/>
      <c r="L94" s="88"/>
      <c r="M94" s="88"/>
      <c r="N94" s="88"/>
      <c r="O94" s="88"/>
      <c r="P94" s="88"/>
      <c r="Q94" s="223"/>
    </row>
    <row r="95" spans="1:17" ht="17.5" customHeight="1">
      <c r="B95" s="402"/>
      <c r="C95" s="402"/>
      <c r="D95" s="402"/>
      <c r="E95" s="402"/>
      <c r="F95" s="402"/>
      <c r="G95" s="402"/>
      <c r="H95" s="402"/>
      <c r="I95" s="402"/>
      <c r="J95" s="402"/>
      <c r="K95" s="402"/>
      <c r="L95" s="402"/>
      <c r="M95" s="402"/>
      <c r="N95" s="402"/>
      <c r="Q95" s="223" t="s">
        <v>482</v>
      </c>
    </row>
    <row r="96" spans="1:17" ht="17.5" customHeight="1">
      <c r="B96" s="408"/>
      <c r="C96" s="408"/>
      <c r="D96" s="408"/>
      <c r="E96" s="408"/>
      <c r="F96" s="408"/>
      <c r="G96" s="408"/>
      <c r="H96" s="408"/>
      <c r="I96" s="408"/>
      <c r="J96" s="408"/>
      <c r="K96" s="408"/>
      <c r="L96" s="408"/>
      <c r="M96" s="408"/>
      <c r="N96" s="408"/>
      <c r="Q96" s="223" t="s">
        <v>483</v>
      </c>
    </row>
    <row r="97" spans="1:17" ht="17.5" customHeight="1">
      <c r="B97" s="408"/>
      <c r="C97" s="408"/>
      <c r="D97" s="408"/>
      <c r="E97" s="408"/>
      <c r="F97" s="408"/>
      <c r="G97" s="408"/>
      <c r="H97" s="408"/>
      <c r="I97" s="408"/>
      <c r="J97" s="408"/>
      <c r="K97" s="408"/>
      <c r="L97" s="408"/>
      <c r="M97" s="408"/>
      <c r="N97" s="408"/>
      <c r="Q97" s="223" t="s">
        <v>484</v>
      </c>
    </row>
    <row r="98" spans="1:17">
      <c r="Q98" s="223"/>
    </row>
    <row r="99" spans="1:17" ht="13">
      <c r="B99" s="133" t="s">
        <v>13</v>
      </c>
      <c r="Q99" s="223"/>
    </row>
    <row r="100" spans="1:17" ht="108" customHeight="1">
      <c r="B100" s="383" t="str">
        <f>IF(Louisiana_Pool="Act 540",Act540_Certification,IF(State="Louisiana",IF(TaxForm="Yes",IF(Waiver_Response="Yes",LAWithTax_Waive,LAWithTax),IF(Waiver_Response="Yes",LANoTax_Waive,LANoTax)),IF(AND(State="Florida",FL_Review_Type="LIP+DSH"),IF(TaxForm="Yes",FL_LIPWithTax,FL_LIPNoTax),IF(TaxForm="Yes",WithTax,NoTax))))</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383"/>
      <c r="D100" s="383"/>
      <c r="E100" s="383"/>
      <c r="F100" s="383"/>
      <c r="G100" s="383"/>
      <c r="H100" s="383"/>
      <c r="I100" s="383"/>
      <c r="J100" s="383"/>
      <c r="K100" s="383"/>
      <c r="Q100" s="223"/>
    </row>
    <row r="101" spans="1:17">
      <c r="Q101" s="223"/>
    </row>
    <row r="102" spans="1:17" hidden="1">
      <c r="A102" s="223"/>
      <c r="B102" s="223" t="s">
        <v>451</v>
      </c>
      <c r="C102" s="223"/>
      <c r="D102" s="223"/>
      <c r="E102" s="223" t="s">
        <v>452</v>
      </c>
      <c r="F102" s="223"/>
      <c r="G102" s="223"/>
      <c r="H102" s="223"/>
      <c r="I102" s="223"/>
      <c r="J102" s="223"/>
      <c r="K102" s="223" t="s">
        <v>453</v>
      </c>
      <c r="L102" s="223"/>
      <c r="M102" s="223"/>
      <c r="N102" s="223"/>
      <c r="O102" s="223"/>
      <c r="P102" s="223"/>
      <c r="Q102" s="223"/>
    </row>
    <row r="103" spans="1:17" ht="20.25" customHeight="1">
      <c r="B103" s="260"/>
      <c r="E103" s="409" t="s">
        <v>1640</v>
      </c>
      <c r="F103" s="409"/>
      <c r="G103" s="409"/>
      <c r="K103" s="259"/>
      <c r="O103" s="47"/>
      <c r="Q103" s="223" t="s">
        <v>485</v>
      </c>
    </row>
    <row r="104" spans="1:17">
      <c r="B104" s="108" t="s">
        <v>122</v>
      </c>
      <c r="C104" s="108"/>
      <c r="E104" s="47" t="s">
        <v>22</v>
      </c>
      <c r="K104" s="108" t="s">
        <v>14</v>
      </c>
      <c r="Q104" s="223"/>
    </row>
    <row r="105" spans="1:17">
      <c r="Q105" s="223"/>
    </row>
    <row r="106" spans="1:17">
      <c r="B106" s="260" t="s">
        <v>1639</v>
      </c>
      <c r="E106" s="409" t="s">
        <v>1642</v>
      </c>
      <c r="F106" s="409"/>
      <c r="G106" s="409"/>
      <c r="K106" s="389" t="s">
        <v>1641</v>
      </c>
      <c r="L106" s="389"/>
      <c r="M106" s="389"/>
      <c r="Q106" s="223" t="s">
        <v>486</v>
      </c>
    </row>
    <row r="107" spans="1:17">
      <c r="B107" s="108" t="s">
        <v>123</v>
      </c>
      <c r="E107" s="108" t="s">
        <v>124</v>
      </c>
      <c r="K107" s="47" t="s">
        <v>125</v>
      </c>
      <c r="Q107" s="223"/>
    </row>
    <row r="108" spans="1:17" ht="13" thickBot="1">
      <c r="A108" s="134"/>
      <c r="B108" s="134"/>
      <c r="C108" s="134"/>
      <c r="D108" s="134"/>
      <c r="E108" s="134"/>
      <c r="F108" s="134"/>
      <c r="G108" s="134"/>
      <c r="H108" s="134"/>
      <c r="I108" s="134"/>
      <c r="J108" s="134"/>
      <c r="K108" s="134"/>
      <c r="L108" s="134"/>
      <c r="M108" s="134"/>
      <c r="N108" s="134"/>
      <c r="Q108" s="223"/>
    </row>
    <row r="109" spans="1:17" ht="13">
      <c r="B109" s="133" t="s">
        <v>66</v>
      </c>
      <c r="Q109" s="223"/>
    </row>
    <row r="110" spans="1:17" ht="7.15" customHeight="1">
      <c r="Q110" s="223"/>
    </row>
    <row r="111" spans="1:17" ht="12.75" hidden="1" customHeight="1">
      <c r="A111" s="223"/>
      <c r="B111" s="223"/>
      <c r="C111" s="223" t="s">
        <v>454</v>
      </c>
      <c r="D111" s="223"/>
      <c r="E111" s="223"/>
      <c r="F111" s="223"/>
      <c r="G111" s="223"/>
      <c r="H111" s="223"/>
      <c r="I111" s="223"/>
      <c r="J111" s="223" t="s">
        <v>455</v>
      </c>
      <c r="K111" s="223"/>
      <c r="L111" s="223"/>
      <c r="M111" s="223"/>
      <c r="N111" s="223"/>
      <c r="O111" s="223"/>
      <c r="P111" s="223"/>
      <c r="Q111" s="223"/>
    </row>
    <row r="112" spans="1:17" ht="13">
      <c r="B112" s="109" t="s">
        <v>67</v>
      </c>
      <c r="I112" s="109" t="s">
        <v>68</v>
      </c>
      <c r="O112" s="47"/>
      <c r="Q112" s="223"/>
    </row>
    <row r="113" spans="2:17">
      <c r="B113" s="48" t="s">
        <v>12</v>
      </c>
      <c r="C113" s="386" t="s">
        <v>1627</v>
      </c>
      <c r="D113" s="387"/>
      <c r="E113" s="387"/>
      <c r="F113" s="388"/>
      <c r="I113" s="48" t="s">
        <v>12</v>
      </c>
      <c r="J113" s="386" t="s">
        <v>1633</v>
      </c>
      <c r="K113" s="387"/>
      <c r="L113" s="387"/>
      <c r="M113" s="388"/>
      <c r="Q113" s="223" t="s">
        <v>487</v>
      </c>
    </row>
    <row r="114" spans="2:17">
      <c r="B114" s="48" t="s">
        <v>22</v>
      </c>
      <c r="C114" s="386" t="s">
        <v>1628</v>
      </c>
      <c r="D114" s="387"/>
      <c r="E114" s="387"/>
      <c r="F114" s="388"/>
      <c r="I114" s="48" t="s">
        <v>22</v>
      </c>
      <c r="J114" s="386" t="s">
        <v>1634</v>
      </c>
      <c r="K114" s="387"/>
      <c r="L114" s="387"/>
      <c r="M114" s="388"/>
      <c r="Q114" s="223" t="s">
        <v>488</v>
      </c>
    </row>
    <row r="115" spans="2:17">
      <c r="B115" s="48" t="s">
        <v>23</v>
      </c>
      <c r="C115" s="405" t="s">
        <v>1629</v>
      </c>
      <c r="D115" s="406"/>
      <c r="E115" s="406"/>
      <c r="F115" s="407"/>
      <c r="I115" s="48" t="s">
        <v>1142</v>
      </c>
      <c r="J115" s="386" t="s">
        <v>1635</v>
      </c>
      <c r="K115" s="387"/>
      <c r="L115" s="387"/>
      <c r="M115" s="388"/>
      <c r="Q115" s="223" t="s">
        <v>489</v>
      </c>
    </row>
    <row r="116" spans="2:17">
      <c r="B116" s="48" t="s">
        <v>24</v>
      </c>
      <c r="C116" s="386" t="s">
        <v>1630</v>
      </c>
      <c r="D116" s="387"/>
      <c r="E116" s="387"/>
      <c r="F116" s="388"/>
      <c r="I116" s="48" t="s">
        <v>23</v>
      </c>
      <c r="J116" s="405" t="s">
        <v>1636</v>
      </c>
      <c r="K116" s="406"/>
      <c r="L116" s="406"/>
      <c r="M116" s="407"/>
      <c r="Q116" s="223" t="s">
        <v>490</v>
      </c>
    </row>
    <row r="117" spans="2:17">
      <c r="B117" s="48" t="s">
        <v>81</v>
      </c>
      <c r="C117" s="386" t="s">
        <v>1631</v>
      </c>
      <c r="D117" s="387"/>
      <c r="E117" s="387"/>
      <c r="F117" s="388"/>
      <c r="I117" s="48" t="s">
        <v>24</v>
      </c>
      <c r="J117" s="386" t="s">
        <v>1637</v>
      </c>
      <c r="K117" s="387"/>
      <c r="L117" s="387"/>
      <c r="M117" s="388"/>
      <c r="Q117" s="223" t="s">
        <v>491</v>
      </c>
    </row>
    <row r="118" spans="2:17">
      <c r="B118" s="48" t="s">
        <v>82</v>
      </c>
      <c r="C118" s="386" t="s">
        <v>1632</v>
      </c>
      <c r="D118" s="387"/>
      <c r="E118" s="387"/>
      <c r="F118" s="388"/>
      <c r="Q118" s="223" t="s">
        <v>702</v>
      </c>
    </row>
    <row r="119" spans="2:17"/>
    <row r="120" spans="2:17"/>
    <row r="121" spans="2:17"/>
    <row r="122" spans="2:17"/>
    <row r="123" spans="2:17"/>
    <row r="124" spans="2:17"/>
    <row r="125" spans="2:17"/>
    <row r="126" spans="2:17"/>
    <row r="127" spans="2:17"/>
    <row r="128" spans="2:17"/>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418"/>
    <row r="419"/>
    <row r="420"/>
    <row r="421"/>
    <row r="422"/>
    <row r="423"/>
    <row r="424"/>
    <row r="425"/>
    <row r="426"/>
    <row r="427"/>
    <row r="428"/>
    <row r="429"/>
  </sheetData>
  <sheetProtection algorithmName="SHA-512" hashValue="0qCcrA0taWAKUVab71TI6UBe8WsxmxlYKikMlGaAXJrUvWkdKNcUA5cLlKYP9TCJRYxQ8uDLmgN7v12Oj+oWsQ==" saltValue="wqrf3dUmQUsW3kNzRgrFSQ==" spinCount="100000" sheet="1" objects="1" scenarios="1" formatCells="0"/>
  <mergeCells count="32">
    <mergeCell ref="C118:F118"/>
    <mergeCell ref="J116:M116"/>
    <mergeCell ref="B77:E77"/>
    <mergeCell ref="J117:M117"/>
    <mergeCell ref="C115:F115"/>
    <mergeCell ref="J113:M113"/>
    <mergeCell ref="B96:N96"/>
    <mergeCell ref="E106:G106"/>
    <mergeCell ref="B100:K100"/>
    <mergeCell ref="B97:N97"/>
    <mergeCell ref="C117:F117"/>
    <mergeCell ref="C116:F116"/>
    <mergeCell ref="J115:M115"/>
    <mergeCell ref="E103:G103"/>
    <mergeCell ref="J114:M114"/>
    <mergeCell ref="C113:F113"/>
    <mergeCell ref="C114:F114"/>
    <mergeCell ref="K106:M106"/>
    <mergeCell ref="C9:G9"/>
    <mergeCell ref="B76:E76"/>
    <mergeCell ref="G16:N16"/>
    <mergeCell ref="G17:N17"/>
    <mergeCell ref="B58:E58"/>
    <mergeCell ref="B59:E59"/>
    <mergeCell ref="G18:N18"/>
    <mergeCell ref="B68:E68"/>
    <mergeCell ref="B69:E69"/>
    <mergeCell ref="B95:N95"/>
    <mergeCell ref="B80:E80"/>
    <mergeCell ref="B81:I81"/>
    <mergeCell ref="B82:I82"/>
    <mergeCell ref="B84:E84"/>
  </mergeCells>
  <phoneticPr fontId="0" type="noConversion"/>
  <conditionalFormatting sqref="B95">
    <cfRule type="expression" dxfId="16" priority="2">
      <formula>$I$88="No"</formula>
    </cfRule>
  </conditionalFormatting>
  <conditionalFormatting sqref="B68:E69">
    <cfRule type="expression" dxfId="15" priority="3" stopIfTrue="1">
      <formula>AND(State="Missouri",Waiver_Response="Yes")</formula>
    </cfRule>
  </conditionalFormatting>
  <conditionalFormatting sqref="B96:N97">
    <cfRule type="expression" dxfId="14" priority="4">
      <formula>$I$88="No"</formula>
    </cfRule>
  </conditionalFormatting>
  <conditionalFormatting sqref="I51 B58:E59 I61 I63">
    <cfRule type="expression" dxfId="13" priority="9" stopIfTrue="1">
      <formula>AND(State="Missouri",Waiver_Response="Yes")</formula>
    </cfRule>
  </conditionalFormatting>
  <conditionalFormatting sqref="I71">
    <cfRule type="expression" dxfId="12" priority="1" stopIfTrue="1">
      <formula>AND(State="Missouri",Waiver_Response="Yes")</formula>
    </cfRule>
  </conditionalFormatting>
  <dataValidations count="3">
    <dataValidation type="whole" operator="lessThanOrEqual" allowBlank="1" showInputMessage="1" showErrorMessage="1" errorTitle="Error" error="Must be a whole number!" sqref="G76:H76 H77:K77 H80:I80 H84:I84" xr:uid="{00000000-0002-0000-0800-000000000000}">
      <formula1>9.99999999999999E+37</formula1>
    </dataValidation>
    <dataValidation type="list" allowBlank="1" showInputMessage="1" showErrorMessage="1" errorTitle="Incorrect Selection" error="Select &quot;Yes&quot; or &quot;No&quot;" prompt="Select Answer with Drop-Down Arrow on Right" sqref="I88 I41 I39 I35 I63 I61 I51 I45 I71" xr:uid="{00000000-0002-0000-0800-000001000000}">
      <formula1>"Yes, No"</formula1>
    </dataValidation>
    <dataValidation type="date" operator="lessThanOrEqual" allowBlank="1" showInputMessage="1" showErrorMessage="1" sqref="C16:C20 E16:E20 E6:E8 C6:C7" xr:uid="{00000000-0002-0000-0800-000002000000}">
      <formula1>73051</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2022</oddHeader>
    <oddFooter>&amp;L6.02&amp;CProperty of Myers and Stauffer LC&amp;RPage &amp;P</oddFooter>
  </headerFooter>
  <rowBreaks count="1" manualBreakCount="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310</vt:i4>
      </vt:variant>
    </vt:vector>
  </HeadingPairs>
  <TitlesOfParts>
    <vt:vector size="321" baseType="lpstr">
      <vt:lpstr>‡‡MappingConfig‡‡</vt:lpstr>
      <vt:lpstr>Survey Set-Up</vt:lpstr>
      <vt:lpstr>Instructions</vt:lpstr>
      <vt:lpstr>DSH Waiver &amp; MIUR Data</vt:lpstr>
      <vt:lpstr>DSH Qualification</vt:lpstr>
      <vt:lpstr>Sec. A-C DSH Year Data</vt:lpstr>
      <vt:lpstr>Checklist</vt:lpstr>
      <vt:lpstr>Checklist - Indy</vt:lpstr>
      <vt:lpstr>Calculation</vt:lpstr>
      <vt:lpstr>Sec. A-C DSH Year Data ADJ</vt:lpstr>
      <vt:lpstr>Exam Adjustments</vt:lpstr>
      <vt:lpstr>_C000003</vt:lpstr>
      <vt:lpstr>_C000039</vt:lpstr>
      <vt:lpstr>_C000040</vt:lpstr>
      <vt:lpstr>_C000041</vt:lpstr>
      <vt:lpstr>_C000042</vt:lpstr>
      <vt:lpstr>_C000043</vt:lpstr>
      <vt:lpstr>_C000044</vt:lpstr>
      <vt:lpstr>_C000045</vt:lpstr>
      <vt:lpstr>_C000048</vt:lpstr>
      <vt:lpstr>_C000049</vt:lpstr>
      <vt:lpstr>_C000050</vt:lpstr>
      <vt:lpstr>_C000051</vt:lpstr>
      <vt:lpstr>_C000054</vt:lpstr>
      <vt:lpstr>_C000055</vt:lpstr>
      <vt:lpstr>_C000056</vt:lpstr>
      <vt:lpstr>_C000057</vt:lpstr>
      <vt:lpstr>_C000058</vt:lpstr>
      <vt:lpstr>_C000059</vt:lpstr>
      <vt:lpstr>_C000060</vt:lpstr>
      <vt:lpstr>_C000117</vt:lpstr>
      <vt:lpstr>_C000118</vt:lpstr>
      <vt:lpstr>_C000119</vt:lpstr>
      <vt:lpstr>_C000120</vt:lpstr>
      <vt:lpstr>_C000121</vt:lpstr>
      <vt:lpstr>_C000122</vt:lpstr>
      <vt:lpstr>_C000125</vt:lpstr>
      <vt:lpstr>_C000126</vt:lpstr>
      <vt:lpstr>_C000127</vt:lpstr>
      <vt:lpstr>_C000128</vt:lpstr>
      <vt:lpstr>_C000131</vt:lpstr>
      <vt:lpstr>_C000132</vt:lpstr>
      <vt:lpstr>_C000133</vt:lpstr>
      <vt:lpstr>_C000134</vt:lpstr>
      <vt:lpstr>_C000135</vt:lpstr>
      <vt:lpstr>_C000136</vt:lpstr>
      <vt:lpstr>_C000137</vt:lpstr>
      <vt:lpstr>_C000227</vt:lpstr>
      <vt:lpstr>_C000228</vt:lpstr>
      <vt:lpstr>_C000229</vt:lpstr>
      <vt:lpstr>_C000230</vt:lpstr>
      <vt:lpstr>_C000231</vt:lpstr>
      <vt:lpstr>_C000232</vt:lpstr>
      <vt:lpstr>_C000233</vt:lpstr>
      <vt:lpstr>_C000259</vt:lpstr>
      <vt:lpstr>_D000026</vt:lpstr>
      <vt:lpstr>_D000027</vt:lpstr>
      <vt:lpstr>_D000028</vt:lpstr>
      <vt:lpstr>_D000029</vt:lpstr>
      <vt:lpstr>_D000030</vt:lpstr>
      <vt:lpstr>_D000095</vt:lpstr>
      <vt:lpstr>_D000096</vt:lpstr>
      <vt:lpstr>_D000097</vt:lpstr>
      <vt:lpstr>_D000172</vt:lpstr>
      <vt:lpstr>_D000173</vt:lpstr>
      <vt:lpstr>_D000174</vt:lpstr>
      <vt:lpstr>_R000002</vt:lpstr>
      <vt:lpstr>_R000038</vt:lpstr>
      <vt:lpstr>_R000047</vt:lpstr>
      <vt:lpstr>_R000053</vt:lpstr>
      <vt:lpstr>_R000116</vt:lpstr>
      <vt:lpstr>_R000124</vt:lpstr>
      <vt:lpstr>_R000130</vt:lpstr>
      <vt:lpstr>_R000226</vt:lpstr>
      <vt:lpstr>_S000001</vt:lpstr>
      <vt:lpstr>_S000037</vt:lpstr>
      <vt:lpstr>_S000046</vt:lpstr>
      <vt:lpstr>_S000052</vt:lpstr>
      <vt:lpstr>_S000115</vt:lpstr>
      <vt:lpstr>_S000123</vt:lpstr>
      <vt:lpstr>_S000129</vt:lpstr>
      <vt:lpstr>_S000225</vt:lpstr>
      <vt:lpstr>Act_540</vt:lpstr>
      <vt:lpstr>Act_540_Accreditation</vt:lpstr>
      <vt:lpstr>Act_540_DPP</vt:lpstr>
      <vt:lpstr>Act_540_FSP</vt:lpstr>
      <vt:lpstr>Act540_Certification</vt:lpstr>
      <vt:lpstr>Act540Qualification</vt:lpstr>
      <vt:lpstr>All_States</vt:lpstr>
      <vt:lpstr>Contact_CityStateZip</vt:lpstr>
      <vt:lpstr>Contact_CityStateZip_ADJ</vt:lpstr>
      <vt:lpstr>Contact_Email</vt:lpstr>
      <vt:lpstr>Contact_Email_ADJ</vt:lpstr>
      <vt:lpstr>Contact_Name</vt:lpstr>
      <vt:lpstr>Contact_Name_ADJ</vt:lpstr>
      <vt:lpstr>Contact_Phone</vt:lpstr>
      <vt:lpstr>Contact_Phone_ADJ</vt:lpstr>
      <vt:lpstr>Contact_StreetAddress</vt:lpstr>
      <vt:lpstr>Contact_StreetAddress_ADJ</vt:lpstr>
      <vt:lpstr>Contact_Title</vt:lpstr>
      <vt:lpstr>Contact_Title_ADJ</vt:lpstr>
      <vt:lpstr>CPE_Qualification1</vt:lpstr>
      <vt:lpstr>DATATABLE</vt:lpstr>
      <vt:lpstr>DefinedProviders</vt:lpstr>
      <vt:lpstr>DSH_Payment_Year_Begin</vt:lpstr>
      <vt:lpstr>DSH_Payment_Year_End</vt:lpstr>
      <vt:lpstr>DSH_Waiver_MIUR_Data_1</vt:lpstr>
      <vt:lpstr>DSH_Waiver_MIUR_Data_2</vt:lpstr>
      <vt:lpstr>DSH_Waiver_MIUR_Data_3</vt:lpstr>
      <vt:lpstr>DSH_Year_Begin</vt:lpstr>
      <vt:lpstr>DSH_Year_Begin_ADJ</vt:lpstr>
      <vt:lpstr>DSH_Year_End</vt:lpstr>
      <vt:lpstr>DSH_Year_End_ADJ</vt:lpstr>
      <vt:lpstr>DSHPool</vt:lpstr>
      <vt:lpstr>DSHPool_ADJ</vt:lpstr>
      <vt:lpstr>DSHWaiverMIUR</vt:lpstr>
      <vt:lpstr>DSP_TRPSHD</vt:lpstr>
      <vt:lpstr>FL_LIPNoTax</vt:lpstr>
      <vt:lpstr>FL_LIPWithTax</vt:lpstr>
      <vt:lpstr>FL_Review_Type</vt:lpstr>
      <vt:lpstr>FYB_1</vt:lpstr>
      <vt:lpstr>FYB_1_ADJ</vt:lpstr>
      <vt:lpstr>FYB_2</vt:lpstr>
      <vt:lpstr>FYB_2_ADJ</vt:lpstr>
      <vt:lpstr>FYB_3</vt:lpstr>
      <vt:lpstr>FYB_3_ADJ</vt:lpstr>
      <vt:lpstr>FYE_1</vt:lpstr>
      <vt:lpstr>FYE_1_ADJ</vt:lpstr>
      <vt:lpstr>FYE_2</vt:lpstr>
      <vt:lpstr>FYE_2_ADJ</vt:lpstr>
      <vt:lpstr>FYE_3</vt:lpstr>
      <vt:lpstr>FYE_3_ADJ</vt:lpstr>
      <vt:lpstr>HighMedicaid</vt:lpstr>
      <vt:lpstr>HighXIX_Qualification1</vt:lpstr>
      <vt:lpstr>HighXIX_Qualification2</vt:lpstr>
      <vt:lpstr>HighXIX_Qualification3</vt:lpstr>
      <vt:lpstr>HospContact_Name</vt:lpstr>
      <vt:lpstr>HOSPITALNAME</vt:lpstr>
      <vt:lpstr>HOSPITALNAME_ADJ</vt:lpstr>
      <vt:lpstr>LA_OBName1</vt:lpstr>
      <vt:lpstr>LA_OBName1_ADJ</vt:lpstr>
      <vt:lpstr>LA_OBName2</vt:lpstr>
      <vt:lpstr>LA_OBName2_ADJ</vt:lpstr>
      <vt:lpstr>LA_ProjectType</vt:lpstr>
      <vt:lpstr>LANoTax</vt:lpstr>
      <vt:lpstr>LANoTax_Waive</vt:lpstr>
      <vt:lpstr>LastRangeID</vt:lpstr>
      <vt:lpstr>LAWithTax</vt:lpstr>
      <vt:lpstr>LAWithTax_Waive</vt:lpstr>
      <vt:lpstr>LINCCA_Qualification1</vt:lpstr>
      <vt:lpstr>LINCCA_Qualification2</vt:lpstr>
      <vt:lpstr>Louisiana_Instructions</vt:lpstr>
      <vt:lpstr>Louisiana_Pool</vt:lpstr>
      <vt:lpstr>Louisiana_Title</vt:lpstr>
      <vt:lpstr>Mcaid_Lump_Sum_Payments</vt:lpstr>
      <vt:lpstr>Mcaid_Lump_Sum_Payments_ADJ</vt:lpstr>
      <vt:lpstr>McaidNum</vt:lpstr>
      <vt:lpstr>McaidNum_ADJ</vt:lpstr>
      <vt:lpstr>'Sec. A-C DSH Year Data ADJ'!McaidNumAdj</vt:lpstr>
      <vt:lpstr>McareNum</vt:lpstr>
      <vt:lpstr>McareNum_ADJ</vt:lpstr>
      <vt:lpstr>'Sec. A-C DSH Year Data ADJ'!McareNumADJ</vt:lpstr>
      <vt:lpstr>MCDHospDaysperCR</vt:lpstr>
      <vt:lpstr>MCO_Lump_Sum_Payments</vt:lpstr>
      <vt:lpstr>MCO_Lump_Sum_Payments_ADJ</vt:lpstr>
      <vt:lpstr>MedicaidEligDays</vt:lpstr>
      <vt:lpstr>Missouri_Instructions</vt:lpstr>
      <vt:lpstr>Missouri_Title</vt:lpstr>
      <vt:lpstr>MIUR</vt:lpstr>
      <vt:lpstr>MIUR_Threshold</vt:lpstr>
      <vt:lpstr>MMC_Qualification1</vt:lpstr>
      <vt:lpstr>MMC_Qualification2</vt:lpstr>
      <vt:lpstr>MMC_Qualification3</vt:lpstr>
      <vt:lpstr>MMC_Qualification4</vt:lpstr>
      <vt:lpstr>MO_MIUR</vt:lpstr>
      <vt:lpstr>MO_OptOut</vt:lpstr>
      <vt:lpstr>NAME</vt:lpstr>
      <vt:lpstr>NonSmallRuralQualification</vt:lpstr>
      <vt:lpstr>NoTax</vt:lpstr>
      <vt:lpstr>OB_Names</vt:lpstr>
      <vt:lpstr>OB_Names_ADJ</vt:lpstr>
      <vt:lpstr>OBExempt1Yes</vt:lpstr>
      <vt:lpstr>OBExempt1Yes_ADJ</vt:lpstr>
      <vt:lpstr>OBExempt1Yes_Payment</vt:lpstr>
      <vt:lpstr>OBExempt1Yes_Payment_ADJ</vt:lpstr>
      <vt:lpstr>OBExempt1Yes_Waiver</vt:lpstr>
      <vt:lpstr>OBExempt2Yes</vt:lpstr>
      <vt:lpstr>OBExempt2Yes_ADJ</vt:lpstr>
      <vt:lpstr>OBExempt2Yes_Payment</vt:lpstr>
      <vt:lpstr>OBExempt2Yes_Payment_ADJ</vt:lpstr>
      <vt:lpstr>OBExempt2Yes_Waiver</vt:lpstr>
      <vt:lpstr>OBLicense_1</vt:lpstr>
      <vt:lpstr>OBLicense_1_ADJ</vt:lpstr>
      <vt:lpstr>OBLicense_2</vt:lpstr>
      <vt:lpstr>OBLicense_2_ADJ</vt:lpstr>
      <vt:lpstr>OBMedicaid_1</vt:lpstr>
      <vt:lpstr>OBMedicaid_1_ADJ</vt:lpstr>
      <vt:lpstr>OBMedicaid_2</vt:lpstr>
      <vt:lpstr>OBMedicaid_2_ADJ</vt:lpstr>
      <vt:lpstr>OBName1</vt:lpstr>
      <vt:lpstr>OBName1_ADJ</vt:lpstr>
      <vt:lpstr>OBName2</vt:lpstr>
      <vt:lpstr>OBName2_ADJ</vt:lpstr>
      <vt:lpstr>OBYes</vt:lpstr>
      <vt:lpstr>OBYes_ADJ</vt:lpstr>
      <vt:lpstr>OBYes_Payment</vt:lpstr>
      <vt:lpstr>OBYes_Payment_ADJ</vt:lpstr>
      <vt:lpstr>OBYes_Waiver</vt:lpstr>
      <vt:lpstr>OME_Days</vt:lpstr>
      <vt:lpstr>OpenAsOf_Exam</vt:lpstr>
      <vt:lpstr>OpenAsOf_Exam_ADJ</vt:lpstr>
      <vt:lpstr>OpenAsOf_Waiver</vt:lpstr>
      <vt:lpstr>OpenDate_Exam</vt:lpstr>
      <vt:lpstr>OpenDate_Exam_ADJ</vt:lpstr>
      <vt:lpstr>OpenDate_Waiver</vt:lpstr>
      <vt:lpstr>OptOut</vt:lpstr>
      <vt:lpstr>OutputFolder</vt:lpstr>
      <vt:lpstr>OwnershipType</vt:lpstr>
      <vt:lpstr>OwnershipType_ADJ</vt:lpstr>
      <vt:lpstr>OwnerType</vt:lpstr>
      <vt:lpstr>OwnerType_ADJ</vt:lpstr>
      <vt:lpstr>Paid_FFS_Xover_Days</vt:lpstr>
      <vt:lpstr>Paid_MCD_FFS_Days</vt:lpstr>
      <vt:lpstr>Paid_MCD_MCO_Days</vt:lpstr>
      <vt:lpstr>Paid_OOS_MCD_Days</vt:lpstr>
      <vt:lpstr>PoolType</vt:lpstr>
      <vt:lpstr>PoolType_ADJ</vt:lpstr>
      <vt:lpstr>PrelimOBquestions_1</vt:lpstr>
      <vt:lpstr>PrelimOBquestions_1_ADJ</vt:lpstr>
      <vt:lpstr>PrelimOBquestions_2</vt:lpstr>
      <vt:lpstr>PrelimOBquestions_2_ADJ</vt:lpstr>
      <vt:lpstr>Preparer_Email</vt:lpstr>
      <vt:lpstr>Preparer_Email_ADJ</vt:lpstr>
      <vt:lpstr>Preparer_Firm</vt:lpstr>
      <vt:lpstr>Preparer_Firm_ADJ</vt:lpstr>
      <vt:lpstr>Preparer_Name</vt:lpstr>
      <vt:lpstr>Preparer_Name_ADJ</vt:lpstr>
      <vt:lpstr>Preparer_Phone</vt:lpstr>
      <vt:lpstr>Preparer_Phone_ADJ</vt:lpstr>
      <vt:lpstr>Preparer_Title</vt:lpstr>
      <vt:lpstr>Preparer_Title_ADJ</vt:lpstr>
      <vt:lpstr>Instructions!Print_Area</vt:lpstr>
      <vt:lpstr>'Survey Set-Up'!Print_Area</vt:lpstr>
      <vt:lpstr>'Exam Adjustments'!Print_Titles</vt:lpstr>
      <vt:lpstr>PriorYear</vt:lpstr>
      <vt:lpstr>ProviderList</vt:lpstr>
      <vt:lpstr>ProviderPoolType</vt:lpstr>
      <vt:lpstr>'Sec. A-C DSH Year Data ADJ'!PROVNAME</vt:lpstr>
      <vt:lpstr>PROVNAME</vt:lpstr>
      <vt:lpstr>RetainDSHHide1</vt:lpstr>
      <vt:lpstr>RetainDSHHide1_ADJ</vt:lpstr>
      <vt:lpstr>RetainDSHHide2</vt:lpstr>
      <vt:lpstr>RetainDSHHide2_ADJ</vt:lpstr>
      <vt:lpstr>RetainDSHYes</vt:lpstr>
      <vt:lpstr>RetainDSHYes_ADJ</vt:lpstr>
      <vt:lpstr>Signature</vt:lpstr>
      <vt:lpstr>Signature_ADJ</vt:lpstr>
      <vt:lpstr>Signature_Date</vt:lpstr>
      <vt:lpstr>Signature_Date_ADJ</vt:lpstr>
      <vt:lpstr>Signature_EMail</vt:lpstr>
      <vt:lpstr>Signature_EMail_ADJ</vt:lpstr>
      <vt:lpstr>Signature_Printed_Name</vt:lpstr>
      <vt:lpstr>Signature_Printed_Name_ADJ</vt:lpstr>
      <vt:lpstr>Signature_Telephone</vt:lpstr>
      <vt:lpstr>Signature_Telephone_ADJ</vt:lpstr>
      <vt:lpstr>Signature_Title</vt:lpstr>
      <vt:lpstr>Signature_Title_ADJ</vt:lpstr>
      <vt:lpstr>SmallRuralQualification</vt:lpstr>
      <vt:lpstr>SMR_Qualification1</vt:lpstr>
      <vt:lpstr>SMR_Qualification10</vt:lpstr>
      <vt:lpstr>SMR_Qualification11</vt:lpstr>
      <vt:lpstr>SMR_Qualification12</vt:lpstr>
      <vt:lpstr>SMR_Qualification13</vt:lpstr>
      <vt:lpstr>SMR_Qualification14</vt:lpstr>
      <vt:lpstr>SMR_Qualification15</vt:lpstr>
      <vt:lpstr>SMR_Qualification2</vt:lpstr>
      <vt:lpstr>SMR_Qualification3</vt:lpstr>
      <vt:lpstr>SMR_Qualification4</vt:lpstr>
      <vt:lpstr>SMR_Qualification5</vt:lpstr>
      <vt:lpstr>SMR_Qualification6</vt:lpstr>
      <vt:lpstr>SMR_Qualification7</vt:lpstr>
      <vt:lpstr>SMR_Qualification8</vt:lpstr>
      <vt:lpstr>SMR_Qualification9</vt:lpstr>
      <vt:lpstr>State</vt:lpstr>
      <vt:lpstr>SubNum1</vt:lpstr>
      <vt:lpstr>SubNum1_ADJ</vt:lpstr>
      <vt:lpstr>'Sec. A-C DSH Year Data ADJ'!SubNum1Adj</vt:lpstr>
      <vt:lpstr>SubNum2</vt:lpstr>
      <vt:lpstr>SubNum2_ADJ</vt:lpstr>
      <vt:lpstr>'Sec. A-C DSH Year Data ADJ'!SubNum2Adj</vt:lpstr>
      <vt:lpstr>SuppPmtsHide</vt:lpstr>
      <vt:lpstr>SuppPmtsHide_ADJ</vt:lpstr>
      <vt:lpstr>TaxForm</vt:lpstr>
      <vt:lpstr>TemplateKey</vt:lpstr>
      <vt:lpstr>TotHospDays</vt:lpstr>
      <vt:lpstr>TotHospDaysperCR</vt:lpstr>
      <vt:lpstr>UnreconciledDays</vt:lpstr>
      <vt:lpstr>UPL_Payments</vt:lpstr>
      <vt:lpstr>UPL_Payments_ADJ</vt:lpstr>
      <vt:lpstr>Version</vt:lpstr>
      <vt:lpstr>Version_ADJ</vt:lpstr>
      <vt:lpstr>Version_Name</vt:lpstr>
      <vt:lpstr>Version_Stamp</vt:lpstr>
      <vt:lpstr>Waiver_OB_1</vt:lpstr>
      <vt:lpstr>Waiver_OB_2</vt:lpstr>
      <vt:lpstr>Waiver_Response</vt:lpstr>
      <vt:lpstr>WaiverDate</vt:lpstr>
      <vt:lpstr>WaiverPrintedName</vt:lpstr>
      <vt:lpstr>WaiverSignature</vt:lpstr>
      <vt:lpstr>WaiverTitle</vt:lpstr>
      <vt:lpstr>WebPortal</vt:lpstr>
      <vt:lpstr>WI_DSH_Qualification</vt:lpstr>
      <vt:lpstr>WI_DSH_Qualification_ADJ</vt:lpstr>
      <vt:lpstr>WI_DSH_Qualification_Criteria</vt:lpstr>
      <vt:lpstr>WI_DSHQualification_1</vt:lpstr>
      <vt:lpstr>WI_ED_Qualification</vt:lpstr>
      <vt:lpstr>WI_ED_Qualification_ADJ</vt:lpstr>
      <vt:lpstr>Wisconsin_Instructions</vt:lpstr>
      <vt:lpstr>Wisconsin_Title</vt:lpstr>
      <vt:lpstr>WithTax</vt:lpstr>
      <vt:lpstr>Year</vt:lpstr>
    </vt:vector>
  </TitlesOfParts>
  <Company>M &amp; 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Hicks</dc:creator>
  <cp:lastModifiedBy>Dugan, David</cp:lastModifiedBy>
  <cp:lastPrinted>2022-02-09T21:49:53Z</cp:lastPrinted>
  <dcterms:created xsi:type="dcterms:W3CDTF">2005-10-18T16:01:34Z</dcterms:created>
  <dcterms:modified xsi:type="dcterms:W3CDTF">2024-03-13T15:59:25Z</dcterms:modified>
</cp:coreProperties>
</file>